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3.xml" ContentType="application/vnd.openxmlformats-officedocument.drawing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4.xml" ContentType="application/vnd.openxmlformats-officedocument.drawing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5.xml" ContentType="application/vnd.openxmlformats-officedocument.drawing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tables/table28.xml" ContentType="application/vnd.openxmlformats-officedocument.spreadsheetml.table+xml"/>
  <Override PartName="/xl/tables/table29.xml" ContentType="application/vnd.openxmlformats-officedocument.spreadsheetml.table+xml"/>
  <Override PartName="/xl/tables/table30.xml" ContentType="application/vnd.openxmlformats-officedocument.spreadsheetml.table+xml"/>
  <Override PartName="/xl/tables/table31.xml" ContentType="application/vnd.openxmlformats-officedocument.spreadsheetml.table+xml"/>
  <Override PartName="/xl/tables/table32.xml" ContentType="application/vnd.openxmlformats-officedocument.spreadsheetml.table+xml"/>
  <Override PartName="/xl/tables/table33.xml" ContentType="application/vnd.openxmlformats-officedocument.spreadsheetml.tab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6.xml" ContentType="application/vnd.openxmlformats-officedocument.drawing+xml"/>
  <Override PartName="/xl/tables/table34.xml" ContentType="application/vnd.openxmlformats-officedocument.spreadsheetml.table+xml"/>
  <Override PartName="/xl/tables/table35.xml" ContentType="application/vnd.openxmlformats-officedocument.spreadsheetml.table+xml"/>
  <Override PartName="/xl/tables/table36.xml" ContentType="application/vnd.openxmlformats-officedocument.spreadsheetml.table+xml"/>
  <Override PartName="/xl/tables/table37.xml" ContentType="application/vnd.openxmlformats-officedocument.spreadsheetml.table+xml"/>
  <Override PartName="/xl/tables/table38.xml" ContentType="application/vnd.openxmlformats-officedocument.spreadsheetml.table+xml"/>
  <Override PartName="/xl/tables/table39.xml" ContentType="application/vnd.openxmlformats-officedocument.spreadsheetml.table+xml"/>
  <Override PartName="/xl/tables/table40.xml" ContentType="application/vnd.openxmlformats-officedocument.spreadsheetml.table+xml"/>
  <Override PartName="/xl/tables/table41.xml" ContentType="application/vnd.openxmlformats-officedocument.spreadsheetml.table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theme/themeOverride1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Harry\Documents\UA Division\UAr Reports Team\District Trends\Trends 2026 07\"/>
    </mc:Choice>
  </mc:AlternateContent>
  <xr:revisionPtr revIDLastSave="0" documentId="13_ncr:1_{95137EEE-51F0-4A99-90A7-CE7B9ACE4516}" xr6:coauthVersionLast="47" xr6:coauthVersionMax="47" xr10:uidLastSave="{00000000-0000-0000-0000-000000000000}"/>
  <bookViews>
    <workbookView xWindow="576" yWindow="732" windowWidth="21672" windowHeight="11196" tabRatio="899" activeTab="5" xr2:uid="{00000000-000D-0000-FFFF-FFFF00000000}"/>
  </bookViews>
  <sheets>
    <sheet name="Main_Page" sheetId="39" r:id="rId1"/>
    <sheet name="Response_Prevention" sheetId="30" r:id="rId2"/>
    <sheet name="RBS" sheetId="46" r:id="rId3"/>
    <sheet name="Support" sheetId="48" r:id="rId4"/>
    <sheet name="Augmentation" sheetId="52" r:id="rId5"/>
    <sheet name="Personnel" sheetId="54" r:id="rId6"/>
    <sheet name="RP_Data" sheetId="18" state="hidden" r:id="rId7"/>
    <sheet name="RBS_Data" sheetId="47" state="hidden" r:id="rId8"/>
    <sheet name="Support_Data" sheetId="49" state="hidden" r:id="rId9"/>
    <sheet name="Augmentation_Data" sheetId="50" state="hidden" r:id="rId10"/>
    <sheet name="Personnel_Data" sheetId="53" state="hidden" r:id="rId11"/>
    <sheet name="Date_Control" sheetId="21" state="hidden" r:id="rId12"/>
  </sheets>
  <definedNames>
    <definedName name="D11NR_D" localSheetId="5">#REF!</definedName>
    <definedName name="D11NR_D" localSheetId="10">#REF!</definedName>
    <definedName name="D11NR_D">#REF!</definedName>
    <definedName name="D11NR_F" localSheetId="5">#REF!</definedName>
    <definedName name="D11NR_F" localSheetId="10">#REF!</definedName>
    <definedName name="D11NR_F">#REF!</definedName>
    <definedName name="D11SR_D" localSheetId="5">#REF!</definedName>
    <definedName name="D11SR_D" localSheetId="10">#REF!</definedName>
    <definedName name="D11SR_D">#REF!</definedName>
    <definedName name="D11SR_F" localSheetId="5">#REF!</definedName>
    <definedName name="D11SR_F" localSheetId="10">#REF!</definedName>
    <definedName name="D11SR_F">#REF!</definedName>
    <definedName name="D13_D" localSheetId="5">#REF!</definedName>
    <definedName name="D13_D" localSheetId="10">#REF!</definedName>
    <definedName name="D13_D">#REF!</definedName>
    <definedName name="D13_F" localSheetId="5">#REF!</definedName>
    <definedName name="D13_F" localSheetId="10">#REF!</definedName>
    <definedName name="D13_F">#REF!</definedName>
    <definedName name="D14_D" localSheetId="5">#REF!</definedName>
    <definedName name="D14_D" localSheetId="10">#REF!</definedName>
    <definedName name="D14_D">#REF!</definedName>
    <definedName name="D14_F" localSheetId="5">#REF!</definedName>
    <definedName name="D14_F" localSheetId="10">#REF!</definedName>
    <definedName name="D14_F">#REF!</definedName>
    <definedName name="D17_D" localSheetId="5">#REF!</definedName>
    <definedName name="D17_D" localSheetId="10">#REF!</definedName>
    <definedName name="D17_D">#REF!</definedName>
    <definedName name="D1NR_D" localSheetId="5">#REF!</definedName>
    <definedName name="D1NR_D" localSheetId="10">#REF!</definedName>
    <definedName name="D1NR_D">#REF!</definedName>
    <definedName name="D1NR_F" localSheetId="5">#REF!</definedName>
    <definedName name="D1NR_F" localSheetId="10">#REF!</definedName>
    <definedName name="D1NR_F">#REF!</definedName>
    <definedName name="D1SR_D" localSheetId="5">#REF!</definedName>
    <definedName name="D1SR_D" localSheetId="10">#REF!</definedName>
    <definedName name="D1SR_D">#REF!</definedName>
    <definedName name="D1SR_F" localSheetId="5">#REF!</definedName>
    <definedName name="D1SR_F" localSheetId="10">#REF!</definedName>
    <definedName name="D1SR_F">#REF!</definedName>
    <definedName name="D5NR_D" localSheetId="5">#REF!</definedName>
    <definedName name="D5NR_D" localSheetId="10">#REF!</definedName>
    <definedName name="D5NR_D">#REF!</definedName>
    <definedName name="D5NR_F" localSheetId="5">#REF!</definedName>
    <definedName name="D5NR_F" localSheetId="10">#REF!</definedName>
    <definedName name="D5NR_F">#REF!</definedName>
    <definedName name="D5SR_D" localSheetId="5">#REF!</definedName>
    <definedName name="D5SR_D" localSheetId="10">#REF!</definedName>
    <definedName name="D5SR_D">#REF!</definedName>
    <definedName name="D5SR_F" localSheetId="5">#REF!</definedName>
    <definedName name="D5SR_F" localSheetId="10">#REF!</definedName>
    <definedName name="D5SR_F">#REF!</definedName>
    <definedName name="D7_D" localSheetId="5">#REF!</definedName>
    <definedName name="D7_D" localSheetId="10">#REF!</definedName>
    <definedName name="D7_D">#REF!</definedName>
    <definedName name="D7_F" localSheetId="5">#REF!</definedName>
    <definedName name="D7_F" localSheetId="10">#REF!</definedName>
    <definedName name="D7_F">#REF!</definedName>
    <definedName name="D8CR_D" localSheetId="5">#REF!</definedName>
    <definedName name="D8CR_D" localSheetId="10">#REF!</definedName>
    <definedName name="D8CR_D">#REF!</definedName>
    <definedName name="D8CR_F" localSheetId="5">#REF!</definedName>
    <definedName name="D8CR_F" localSheetId="10">#REF!</definedName>
    <definedName name="D8CR_F">#REF!</definedName>
    <definedName name="D8ER_D" localSheetId="5">#REF!</definedName>
    <definedName name="D8ER_D" localSheetId="10">#REF!</definedName>
    <definedName name="D8ER_D">#REF!</definedName>
    <definedName name="D8ER_F" localSheetId="5">#REF!</definedName>
    <definedName name="D8ER_F" localSheetId="10">#REF!</definedName>
    <definedName name="D8ER_F">#REF!</definedName>
    <definedName name="D8WR_D" localSheetId="5">#REF!</definedName>
    <definedName name="D8WR_D" localSheetId="10">#REF!</definedName>
    <definedName name="D8WR_D">#REF!</definedName>
    <definedName name="D8WR_F" localSheetId="5">#REF!</definedName>
    <definedName name="D8WR_F" localSheetId="10">#REF!</definedName>
    <definedName name="D8WR_F">#REF!</definedName>
    <definedName name="D9CR_D" localSheetId="5">#REF!</definedName>
    <definedName name="D9CR_D" localSheetId="10">#REF!</definedName>
    <definedName name="D9CR_D">#REF!</definedName>
    <definedName name="D9CR_F" localSheetId="5">#REF!</definedName>
    <definedName name="D9CR_F" localSheetId="10">#REF!</definedName>
    <definedName name="D9CR_F">#REF!</definedName>
    <definedName name="D9ER_D" localSheetId="5">#REF!</definedName>
    <definedName name="D9ER_D" localSheetId="10">#REF!</definedName>
    <definedName name="D9ER_D">#REF!</definedName>
    <definedName name="D9ER_F" localSheetId="5">#REF!</definedName>
    <definedName name="D9ER_F" localSheetId="10">#REF!</definedName>
    <definedName name="D9ER_F">#REF!</definedName>
    <definedName name="D9WR_D" localSheetId="5">#REF!</definedName>
    <definedName name="D9WR_D" localSheetId="10">#REF!</definedName>
    <definedName name="D9WR_D">#REF!</definedName>
    <definedName name="D9WR_F" localSheetId="5">#REF!</definedName>
    <definedName name="D9WR_F" localSheetId="10">#REF!</definedName>
    <definedName name="D9WR_F">#REF!</definedName>
    <definedName name="Districts">Main_Page!$A$96:$A$113</definedName>
    <definedName name="Divisions" localSheetId="5">#REF!</definedName>
    <definedName name="Divisions" localSheetId="10">#REF!</definedName>
    <definedName name="Divisions">#REF!</definedName>
    <definedName name="Flotillas" localSheetId="5">#REF!</definedName>
    <definedName name="Flotillas" localSheetId="10">#REF!</definedName>
    <definedName name="Flotilla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" i="54" l="1"/>
  <c r="C16" i="21"/>
  <c r="AP1" i="30" s="1"/>
  <c r="AY2" i="48" l="1"/>
  <c r="AY5" i="30"/>
  <c r="C20" i="21"/>
  <c r="AC1" i="54" s="1"/>
  <c r="AY11" i="46"/>
  <c r="AY8" i="52"/>
  <c r="AY5" i="54"/>
  <c r="AG1" i="54"/>
  <c r="AY2" i="46"/>
  <c r="AG1" i="46"/>
  <c r="AY11" i="48"/>
  <c r="AG1" i="30"/>
  <c r="AP1" i="52"/>
  <c r="AP1" i="54"/>
  <c r="C18" i="21"/>
  <c r="C19" i="21"/>
  <c r="AY8" i="54"/>
  <c r="AY5" i="46"/>
  <c r="AY5" i="48"/>
  <c r="AY11" i="52"/>
  <c r="AU5" i="48"/>
  <c r="AY2" i="52"/>
  <c r="C17" i="21"/>
  <c r="C21" i="21"/>
  <c r="AG1" i="52"/>
  <c r="AY2" i="54"/>
  <c r="AY11" i="30"/>
  <c r="AG1" i="48"/>
  <c r="AY5" i="52"/>
  <c r="AY8" i="30"/>
  <c r="AP1" i="48"/>
  <c r="AY2" i="30"/>
  <c r="AP1" i="46"/>
  <c r="AY11" i="54"/>
  <c r="AY8" i="46"/>
  <c r="AY8" i="48"/>
  <c r="B4" i="21"/>
  <c r="AU2" i="46" l="1"/>
  <c r="AU11" i="30"/>
  <c r="AL1" i="52"/>
  <c r="AU8" i="46"/>
  <c r="AU2" i="54"/>
  <c r="AU5" i="54"/>
  <c r="AL1" i="30"/>
  <c r="AC1" i="46"/>
  <c r="AL1" i="46"/>
  <c r="AU5" i="30"/>
  <c r="AU8" i="48"/>
  <c r="AU2" i="30"/>
  <c r="AU2" i="48"/>
  <c r="AC1" i="52"/>
  <c r="AC1" i="48"/>
  <c r="AU5" i="52"/>
  <c r="AU11" i="54"/>
  <c r="A5" i="39"/>
  <c r="B2" i="46"/>
  <c r="B2" i="54"/>
  <c r="B2" i="30"/>
  <c r="B2" i="52"/>
  <c r="B2" i="48"/>
  <c r="AU8" i="52"/>
  <c r="AL1" i="48"/>
  <c r="AU5" i="46"/>
  <c r="AC1" i="30"/>
  <c r="AU11" i="48"/>
  <c r="AU8" i="30"/>
  <c r="AU8" i="54"/>
  <c r="AL1" i="54"/>
  <c r="AU2" i="52"/>
  <c r="AU11" i="46"/>
  <c r="AU11" i="52"/>
  <c r="AN1" i="52"/>
  <c r="AE1" i="46"/>
  <c r="AW5" i="30"/>
  <c r="AE1" i="54"/>
  <c r="AW2" i="54"/>
  <c r="AW5" i="52"/>
  <c r="AW11" i="52"/>
  <c r="AW8" i="54"/>
  <c r="AW2" i="52"/>
  <c r="AN1" i="30"/>
  <c r="AW8" i="48"/>
  <c r="AW8" i="46"/>
  <c r="AW11" i="54"/>
  <c r="AW11" i="30"/>
  <c r="AW5" i="46"/>
  <c r="AE1" i="48"/>
  <c r="AW8" i="30"/>
  <c r="AN1" i="54"/>
  <c r="AW11" i="46"/>
  <c r="AW8" i="52"/>
  <c r="AW2" i="48"/>
  <c r="AW5" i="54"/>
  <c r="AE1" i="52"/>
  <c r="AN1" i="46"/>
  <c r="AW2" i="30"/>
  <c r="AW5" i="48"/>
  <c r="AN1" i="48"/>
  <c r="AW11" i="48"/>
  <c r="AE1" i="30"/>
  <c r="AW2" i="46"/>
  <c r="AV11" i="46"/>
  <c r="AM1" i="52"/>
  <c r="AD1" i="46"/>
  <c r="AV5" i="30"/>
  <c r="AD1" i="54"/>
  <c r="AV8" i="46"/>
  <c r="AV5" i="46"/>
  <c r="AV8" i="30"/>
  <c r="AV5" i="52"/>
  <c r="AD1" i="48"/>
  <c r="AV11" i="30"/>
  <c r="AV2" i="54"/>
  <c r="AV2" i="52"/>
  <c r="AM1" i="54"/>
  <c r="AV11" i="48"/>
  <c r="AV8" i="52"/>
  <c r="AM1" i="30"/>
  <c r="AV8" i="48"/>
  <c r="AV11" i="54"/>
  <c r="AD1" i="52"/>
  <c r="AV2" i="30"/>
  <c r="AV5" i="48"/>
  <c r="AV8" i="54"/>
  <c r="AD1" i="30"/>
  <c r="AV2" i="46"/>
  <c r="AM1" i="46"/>
  <c r="AV11" i="52"/>
  <c r="AM1" i="48"/>
  <c r="AV2" i="48"/>
  <c r="AV5" i="54"/>
  <c r="AK1" i="30"/>
  <c r="AT8" i="48"/>
  <c r="AT8" i="54"/>
  <c r="AT8" i="52"/>
  <c r="AT2" i="48"/>
  <c r="AT2" i="46"/>
  <c r="AT5" i="54"/>
  <c r="AK1" i="52"/>
  <c r="AB1" i="54"/>
  <c r="AT8" i="46"/>
  <c r="AT11" i="54"/>
  <c r="AB1" i="48"/>
  <c r="AT8" i="30"/>
  <c r="AB1" i="46"/>
  <c r="AT5" i="30"/>
  <c r="AT5" i="52"/>
  <c r="AT2" i="30"/>
  <c r="AT5" i="46"/>
  <c r="AB1" i="30"/>
  <c r="AT2" i="54"/>
  <c r="AT11" i="52"/>
  <c r="AK1" i="48"/>
  <c r="AT11" i="46"/>
  <c r="AT11" i="48"/>
  <c r="AT11" i="30"/>
  <c r="AB1" i="52"/>
  <c r="AK1" i="46"/>
  <c r="AT5" i="48"/>
  <c r="AK1" i="54"/>
  <c r="AT2" i="52"/>
  <c r="AX11" i="30"/>
  <c r="AX2" i="54"/>
  <c r="AF1" i="30"/>
  <c r="AO1" i="30"/>
  <c r="AX8" i="48"/>
  <c r="AX8" i="46"/>
  <c r="AX11" i="54"/>
  <c r="AX2" i="52"/>
  <c r="AO1" i="54"/>
  <c r="AX11" i="48"/>
  <c r="AX5" i="52"/>
  <c r="AF1" i="48"/>
  <c r="AO1" i="46"/>
  <c r="AX5" i="48"/>
  <c r="AX5" i="46"/>
  <c r="AX8" i="54"/>
  <c r="AO1" i="48"/>
  <c r="AX2" i="46"/>
  <c r="AX5" i="54"/>
  <c r="AF1" i="52"/>
  <c r="AX2" i="30"/>
  <c r="AX8" i="30"/>
  <c r="AO1" i="52"/>
  <c r="AF1" i="54"/>
  <c r="AX8" i="52"/>
  <c r="AF1" i="46"/>
  <c r="AX5" i="30"/>
  <c r="AX11" i="52"/>
  <c r="AX11" i="46"/>
  <c r="AX2" i="48"/>
  <c r="BH82" i="48"/>
  <c r="BH83" i="48"/>
  <c r="BH84" i="48"/>
  <c r="BH85" i="48"/>
  <c r="BH86" i="48"/>
  <c r="BH87" i="48"/>
  <c r="BH88" i="48"/>
  <c r="BH89" i="48"/>
  <c r="BH90" i="48"/>
  <c r="BH91" i="48"/>
  <c r="BH92" i="48"/>
  <c r="BH93" i="48"/>
  <c r="BH94" i="48"/>
  <c r="BH95" i="48"/>
  <c r="BH96" i="48"/>
  <c r="BH97" i="48"/>
  <c r="BH98" i="48"/>
  <c r="BG82" i="48"/>
  <c r="BG83" i="48"/>
  <c r="BG84" i="48"/>
  <c r="BG85" i="48"/>
  <c r="BG86" i="48"/>
  <c r="BG87" i="48"/>
  <c r="BG88" i="48"/>
  <c r="BG89" i="48"/>
  <c r="BG90" i="48"/>
  <c r="BG91" i="48"/>
  <c r="BG92" i="48"/>
  <c r="BG93" i="48"/>
  <c r="BG94" i="48"/>
  <c r="BG95" i="48"/>
  <c r="BG96" i="48"/>
  <c r="BG97" i="48"/>
  <c r="BG98" i="48"/>
  <c r="BF82" i="48"/>
  <c r="BF83" i="48"/>
  <c r="BF84" i="48"/>
  <c r="BF85" i="48"/>
  <c r="BF86" i="48"/>
  <c r="BF87" i="48"/>
  <c r="BF88" i="48"/>
  <c r="BF89" i="48"/>
  <c r="BF90" i="48"/>
  <c r="BF91" i="48"/>
  <c r="BF92" i="48"/>
  <c r="BF93" i="48"/>
  <c r="BF94" i="48"/>
  <c r="BF95" i="48"/>
  <c r="BF96" i="48"/>
  <c r="BF97" i="48"/>
  <c r="BF98" i="48"/>
  <c r="BE82" i="48"/>
  <c r="BE83" i="48"/>
  <c r="BE84" i="48"/>
  <c r="BE85" i="48"/>
  <c r="BE86" i="48"/>
  <c r="BE87" i="48"/>
  <c r="BE88" i="48"/>
  <c r="BE89" i="48"/>
  <c r="BE90" i="48"/>
  <c r="BE91" i="48"/>
  <c r="BE92" i="48"/>
  <c r="BE93" i="48"/>
  <c r="BE94" i="48"/>
  <c r="BE95" i="48"/>
  <c r="BE96" i="48"/>
  <c r="BE97" i="48"/>
  <c r="BE98" i="48"/>
  <c r="BD82" i="48"/>
  <c r="BD83" i="48"/>
  <c r="BD84" i="48"/>
  <c r="BD85" i="48"/>
  <c r="BD86" i="48"/>
  <c r="BD87" i="48"/>
  <c r="BD88" i="48"/>
  <c r="BD89" i="48"/>
  <c r="BD90" i="48"/>
  <c r="BD91" i="48"/>
  <c r="BD92" i="48"/>
  <c r="BD93" i="48"/>
  <c r="BD94" i="48"/>
  <c r="BD95" i="48"/>
  <c r="BD96" i="48"/>
  <c r="BD97" i="48"/>
  <c r="BD98" i="48"/>
  <c r="BC82" i="48"/>
  <c r="BC83" i="48"/>
  <c r="BC84" i="48"/>
  <c r="BC85" i="48"/>
  <c r="BC86" i="48"/>
  <c r="BC87" i="48"/>
  <c r="BC88" i="48"/>
  <c r="BC89" i="48"/>
  <c r="BC90" i="48"/>
  <c r="BC91" i="48"/>
  <c r="BC92" i="48"/>
  <c r="BC93" i="48"/>
  <c r="BC94" i="48"/>
  <c r="BC95" i="48"/>
  <c r="BC96" i="48"/>
  <c r="BC97" i="48"/>
  <c r="BC98" i="48"/>
  <c r="AY82" i="48"/>
  <c r="AY83" i="48"/>
  <c r="AY84" i="48"/>
  <c r="AY85" i="48"/>
  <c r="AY86" i="48"/>
  <c r="AY87" i="48"/>
  <c r="AY88" i="48"/>
  <c r="AY89" i="48"/>
  <c r="AY90" i="48"/>
  <c r="AY91" i="48"/>
  <c r="AY92" i="48"/>
  <c r="AY93" i="48"/>
  <c r="AY94" i="48"/>
  <c r="AY95" i="48"/>
  <c r="AY96" i="48"/>
  <c r="AY97" i="48"/>
  <c r="AY98" i="48"/>
  <c r="AX82" i="48"/>
  <c r="AX83" i="48"/>
  <c r="AX84" i="48"/>
  <c r="AX85" i="48"/>
  <c r="AX86" i="48"/>
  <c r="AX87" i="48"/>
  <c r="AX88" i="48"/>
  <c r="AX89" i="48"/>
  <c r="AX90" i="48"/>
  <c r="AX91" i="48"/>
  <c r="AX92" i="48"/>
  <c r="AX93" i="48"/>
  <c r="AX94" i="48"/>
  <c r="AX95" i="48"/>
  <c r="AX96" i="48"/>
  <c r="AX97" i="48"/>
  <c r="AX98" i="48"/>
  <c r="AW82" i="48"/>
  <c r="AW83" i="48"/>
  <c r="AW84" i="48"/>
  <c r="AW85" i="48"/>
  <c r="AW86" i="48"/>
  <c r="AW87" i="48"/>
  <c r="AW88" i="48"/>
  <c r="AW89" i="48"/>
  <c r="AW90" i="48"/>
  <c r="AW91" i="48"/>
  <c r="AW92" i="48"/>
  <c r="AW93" i="48"/>
  <c r="AW94" i="48"/>
  <c r="AW95" i="48"/>
  <c r="AW96" i="48"/>
  <c r="AW97" i="48"/>
  <c r="AW98" i="48"/>
  <c r="AV82" i="48"/>
  <c r="AV83" i="48"/>
  <c r="AV84" i="48"/>
  <c r="AV85" i="48"/>
  <c r="AV86" i="48"/>
  <c r="AV87" i="48"/>
  <c r="AV88" i="48"/>
  <c r="AV89" i="48"/>
  <c r="AV90" i="48"/>
  <c r="AV91" i="48"/>
  <c r="AV92" i="48"/>
  <c r="AV93" i="48"/>
  <c r="AV94" i="48"/>
  <c r="AV95" i="48"/>
  <c r="AV96" i="48"/>
  <c r="AV97" i="48"/>
  <c r="AV98" i="48"/>
  <c r="AU82" i="48"/>
  <c r="AU83" i="48"/>
  <c r="AU84" i="48"/>
  <c r="AU85" i="48"/>
  <c r="AU86" i="48"/>
  <c r="AU87" i="48"/>
  <c r="AU88" i="48"/>
  <c r="AU89" i="48"/>
  <c r="AU90" i="48"/>
  <c r="AU91" i="48"/>
  <c r="AU92" i="48"/>
  <c r="AU93" i="48"/>
  <c r="AU94" i="48"/>
  <c r="AU95" i="48"/>
  <c r="AU96" i="48"/>
  <c r="AU97" i="48"/>
  <c r="AU98" i="48"/>
  <c r="AT82" i="48"/>
  <c r="AT83" i="48"/>
  <c r="AT84" i="48"/>
  <c r="AT85" i="48"/>
  <c r="AT86" i="48"/>
  <c r="AT87" i="48"/>
  <c r="AT88" i="48"/>
  <c r="AT89" i="48"/>
  <c r="AT90" i="48"/>
  <c r="AT91" i="48"/>
  <c r="AT92" i="48"/>
  <c r="AT93" i="48"/>
  <c r="AT94" i="48"/>
  <c r="AT95" i="48"/>
  <c r="AT96" i="48"/>
  <c r="AT97" i="48"/>
  <c r="AT98" i="48"/>
  <c r="B14" i="54"/>
  <c r="B14" i="52"/>
  <c r="B14" i="48"/>
  <c r="B14" i="46"/>
  <c r="BH42" i="54"/>
  <c r="BH43" i="54"/>
  <c r="BH44" i="54"/>
  <c r="BH45" i="54"/>
  <c r="BH46" i="54"/>
  <c r="BH47" i="54"/>
  <c r="BH48" i="54"/>
  <c r="BH49" i="54"/>
  <c r="BH50" i="54"/>
  <c r="BH51" i="54"/>
  <c r="BH52" i="54"/>
  <c r="BH53" i="54"/>
  <c r="BH54" i="54"/>
  <c r="BH55" i="54"/>
  <c r="BH56" i="54"/>
  <c r="BH57" i="54"/>
  <c r="BH58" i="54"/>
  <c r="BG42" i="54"/>
  <c r="BG43" i="54"/>
  <c r="BG44" i="54"/>
  <c r="BG45" i="54"/>
  <c r="BG46" i="54"/>
  <c r="BG47" i="54"/>
  <c r="BG48" i="54"/>
  <c r="BG49" i="54"/>
  <c r="BG50" i="54"/>
  <c r="BG51" i="54"/>
  <c r="BG52" i="54"/>
  <c r="BG53" i="54"/>
  <c r="BG54" i="54"/>
  <c r="BG55" i="54"/>
  <c r="BG56" i="54"/>
  <c r="BG57" i="54"/>
  <c r="BG58" i="54"/>
  <c r="BF42" i="54"/>
  <c r="BF43" i="54"/>
  <c r="BF44" i="54"/>
  <c r="BF45" i="54"/>
  <c r="BF46" i="54"/>
  <c r="BF47" i="54"/>
  <c r="BF48" i="54"/>
  <c r="BF49" i="54"/>
  <c r="BF50" i="54"/>
  <c r="BF51" i="54"/>
  <c r="BF52" i="54"/>
  <c r="BF53" i="54"/>
  <c r="BF54" i="54"/>
  <c r="BF55" i="54"/>
  <c r="BF56" i="54"/>
  <c r="BF57" i="54"/>
  <c r="BF58" i="54"/>
  <c r="BE42" i="54"/>
  <c r="BE43" i="54"/>
  <c r="BE44" i="54"/>
  <c r="BE45" i="54"/>
  <c r="BE46" i="54"/>
  <c r="BE47" i="54"/>
  <c r="BE48" i="54"/>
  <c r="BE49" i="54"/>
  <c r="BE50" i="54"/>
  <c r="BE51" i="54"/>
  <c r="BE52" i="54"/>
  <c r="BE53" i="54"/>
  <c r="BE54" i="54"/>
  <c r="BE55" i="54"/>
  <c r="BE56" i="54"/>
  <c r="BE57" i="54"/>
  <c r="BE58" i="54"/>
  <c r="BD42" i="54"/>
  <c r="BD43" i="54"/>
  <c r="BD44" i="54"/>
  <c r="BD45" i="54"/>
  <c r="BD46" i="54"/>
  <c r="BD47" i="54"/>
  <c r="BD48" i="54"/>
  <c r="BD49" i="54"/>
  <c r="BD50" i="54"/>
  <c r="BD51" i="54"/>
  <c r="BD52" i="54"/>
  <c r="BD53" i="54"/>
  <c r="BD54" i="54"/>
  <c r="BD55" i="54"/>
  <c r="BD56" i="54"/>
  <c r="BD57" i="54"/>
  <c r="BD58" i="54"/>
  <c r="BC42" i="54"/>
  <c r="BC43" i="54"/>
  <c r="BC44" i="54"/>
  <c r="BC45" i="54"/>
  <c r="BC46" i="54"/>
  <c r="BC47" i="54"/>
  <c r="BC48" i="54"/>
  <c r="BC49" i="54"/>
  <c r="BC50" i="54"/>
  <c r="BC51" i="54"/>
  <c r="BC52" i="54"/>
  <c r="BC53" i="54"/>
  <c r="BC54" i="54"/>
  <c r="BC55" i="54"/>
  <c r="BC56" i="54"/>
  <c r="BC57" i="54"/>
  <c r="BC58" i="54"/>
  <c r="AY42" i="54"/>
  <c r="AY43" i="54"/>
  <c r="AY44" i="54"/>
  <c r="AY45" i="54"/>
  <c r="AY46" i="54"/>
  <c r="AY47" i="54"/>
  <c r="AY48" i="54"/>
  <c r="AY49" i="54"/>
  <c r="AY50" i="54"/>
  <c r="AY51" i="54"/>
  <c r="AY52" i="54"/>
  <c r="AY53" i="54"/>
  <c r="AY54" i="54"/>
  <c r="AY55" i="54"/>
  <c r="AY56" i="54"/>
  <c r="AY57" i="54"/>
  <c r="AY58" i="54"/>
  <c r="AX42" i="54"/>
  <c r="AX43" i="54"/>
  <c r="AX44" i="54"/>
  <c r="AX45" i="54"/>
  <c r="AX46" i="54"/>
  <c r="AX47" i="54"/>
  <c r="AX48" i="54"/>
  <c r="AX49" i="54"/>
  <c r="AX50" i="54"/>
  <c r="AX51" i="54"/>
  <c r="AX52" i="54"/>
  <c r="AX53" i="54"/>
  <c r="AX54" i="54"/>
  <c r="AX55" i="54"/>
  <c r="AX56" i="54"/>
  <c r="AX57" i="54"/>
  <c r="AX58" i="54"/>
  <c r="AW42" i="54"/>
  <c r="AW43" i="54"/>
  <c r="AW44" i="54"/>
  <c r="AW45" i="54"/>
  <c r="AW46" i="54"/>
  <c r="AW47" i="54"/>
  <c r="AW48" i="54"/>
  <c r="AW49" i="54"/>
  <c r="AW50" i="54"/>
  <c r="AW51" i="54"/>
  <c r="AW52" i="54"/>
  <c r="AW53" i="54"/>
  <c r="AW54" i="54"/>
  <c r="AW55" i="54"/>
  <c r="AW56" i="54"/>
  <c r="AW57" i="54"/>
  <c r="AW58" i="54"/>
  <c r="AV42" i="54"/>
  <c r="AV43" i="54"/>
  <c r="AV44" i="54"/>
  <c r="AV45" i="54"/>
  <c r="AV46" i="54"/>
  <c r="AV47" i="54"/>
  <c r="AV48" i="54"/>
  <c r="AV49" i="54"/>
  <c r="AV50" i="54"/>
  <c r="AV51" i="54"/>
  <c r="AV52" i="54"/>
  <c r="AV53" i="54"/>
  <c r="AV54" i="54"/>
  <c r="AV55" i="54"/>
  <c r="AV56" i="54"/>
  <c r="AV57" i="54"/>
  <c r="AV58" i="54"/>
  <c r="AU42" i="54"/>
  <c r="AU43" i="54"/>
  <c r="AU44" i="54"/>
  <c r="AU45" i="54"/>
  <c r="AU46" i="54"/>
  <c r="AU47" i="54"/>
  <c r="AU48" i="54"/>
  <c r="AU49" i="54"/>
  <c r="AU50" i="54"/>
  <c r="AU51" i="54"/>
  <c r="AU52" i="54"/>
  <c r="AU53" i="54"/>
  <c r="AU54" i="54"/>
  <c r="AU55" i="54"/>
  <c r="AU56" i="54"/>
  <c r="AU57" i="54"/>
  <c r="AU58" i="54"/>
  <c r="AT42" i="54"/>
  <c r="AT43" i="54"/>
  <c r="AT44" i="54"/>
  <c r="AT45" i="54"/>
  <c r="AT46" i="54"/>
  <c r="AT47" i="54"/>
  <c r="AT48" i="54"/>
  <c r="AT49" i="54"/>
  <c r="AT50" i="54"/>
  <c r="AT51" i="54"/>
  <c r="AT52" i="54"/>
  <c r="AT53" i="54"/>
  <c r="AT54" i="54"/>
  <c r="AT55" i="54"/>
  <c r="AT56" i="54"/>
  <c r="AT57" i="54"/>
  <c r="AT58" i="54"/>
  <c r="AY22" i="54"/>
  <c r="AY23" i="54"/>
  <c r="AY24" i="54"/>
  <c r="AY25" i="54"/>
  <c r="AY26" i="54"/>
  <c r="AY27" i="54"/>
  <c r="AY28" i="54"/>
  <c r="AY29" i="54"/>
  <c r="AY30" i="54"/>
  <c r="AY31" i="54"/>
  <c r="AY32" i="54"/>
  <c r="AY33" i="54"/>
  <c r="AY34" i="54"/>
  <c r="AY35" i="54"/>
  <c r="AY36" i="54"/>
  <c r="AY37" i="54"/>
  <c r="AY38" i="54"/>
  <c r="AX22" i="54"/>
  <c r="AX23" i="54"/>
  <c r="AX24" i="54"/>
  <c r="AX25" i="54"/>
  <c r="AX26" i="54"/>
  <c r="AX27" i="54"/>
  <c r="AX28" i="54"/>
  <c r="AX29" i="54"/>
  <c r="AX30" i="54"/>
  <c r="AX31" i="54"/>
  <c r="AX32" i="54"/>
  <c r="AX33" i="54"/>
  <c r="AX34" i="54"/>
  <c r="AX35" i="54"/>
  <c r="AX36" i="54"/>
  <c r="AX37" i="54"/>
  <c r="AX38" i="54"/>
  <c r="AW22" i="54"/>
  <c r="AW23" i="54"/>
  <c r="AW24" i="54"/>
  <c r="AW25" i="54"/>
  <c r="AW26" i="54"/>
  <c r="AW27" i="54"/>
  <c r="AW28" i="54"/>
  <c r="AW29" i="54"/>
  <c r="AW30" i="54"/>
  <c r="AW31" i="54"/>
  <c r="AW32" i="54"/>
  <c r="AW33" i="54"/>
  <c r="AW34" i="54"/>
  <c r="AW35" i="54"/>
  <c r="AW36" i="54"/>
  <c r="AW37" i="54"/>
  <c r="AW38" i="54"/>
  <c r="AV22" i="54"/>
  <c r="AV23" i="54"/>
  <c r="AV24" i="54"/>
  <c r="AV25" i="54"/>
  <c r="AV26" i="54"/>
  <c r="AV27" i="54"/>
  <c r="AV28" i="54"/>
  <c r="AV29" i="54"/>
  <c r="AV30" i="54"/>
  <c r="AV31" i="54"/>
  <c r="AV32" i="54"/>
  <c r="AV33" i="54"/>
  <c r="AV34" i="54"/>
  <c r="AV35" i="54"/>
  <c r="AV36" i="54"/>
  <c r="AV37" i="54"/>
  <c r="AV38" i="54"/>
  <c r="AU22" i="54"/>
  <c r="AU23" i="54"/>
  <c r="AU24" i="54"/>
  <c r="AU25" i="54"/>
  <c r="AU26" i="54"/>
  <c r="AU27" i="54"/>
  <c r="AU28" i="54"/>
  <c r="AU29" i="54"/>
  <c r="AU30" i="54"/>
  <c r="AU31" i="54"/>
  <c r="AU32" i="54"/>
  <c r="AU33" i="54"/>
  <c r="AU34" i="54"/>
  <c r="AU35" i="54"/>
  <c r="AU36" i="54"/>
  <c r="AU37" i="54"/>
  <c r="AU38" i="54"/>
  <c r="AT22" i="54"/>
  <c r="AT23" i="54"/>
  <c r="AT24" i="54"/>
  <c r="AT25" i="54"/>
  <c r="AT26" i="54"/>
  <c r="AT27" i="54"/>
  <c r="AT28" i="54"/>
  <c r="AT29" i="54"/>
  <c r="AT30" i="54"/>
  <c r="AT31" i="54"/>
  <c r="AT32" i="54"/>
  <c r="AT33" i="54"/>
  <c r="AT34" i="54"/>
  <c r="AT35" i="54"/>
  <c r="AT36" i="54"/>
  <c r="AT37" i="54"/>
  <c r="AT38" i="54"/>
  <c r="BH98" i="54" l="1"/>
  <c r="BG98" i="54"/>
  <c r="BF98" i="54"/>
  <c r="BE98" i="54"/>
  <c r="BD98" i="54"/>
  <c r="BC98" i="54"/>
  <c r="AY98" i="54"/>
  <c r="AX98" i="54"/>
  <c r="AW98" i="54"/>
  <c r="AV98" i="54"/>
  <c r="AU98" i="54"/>
  <c r="AT98" i="54"/>
  <c r="BH97" i="54"/>
  <c r="BG97" i="54"/>
  <c r="BF97" i="54"/>
  <c r="BE97" i="54"/>
  <c r="BD97" i="54"/>
  <c r="BC97" i="54"/>
  <c r="AY97" i="54"/>
  <c r="AX97" i="54"/>
  <c r="AW97" i="54"/>
  <c r="AV97" i="54"/>
  <c r="AU97" i="54"/>
  <c r="AT97" i="54"/>
  <c r="BH96" i="54"/>
  <c r="BG96" i="54"/>
  <c r="BF96" i="54"/>
  <c r="BE96" i="54"/>
  <c r="BD96" i="54"/>
  <c r="BC96" i="54"/>
  <c r="AY96" i="54"/>
  <c r="AX96" i="54"/>
  <c r="AW96" i="54"/>
  <c r="AV96" i="54"/>
  <c r="AU96" i="54"/>
  <c r="AT96" i="54"/>
  <c r="BH95" i="54"/>
  <c r="BG95" i="54"/>
  <c r="BF95" i="54"/>
  <c r="BE95" i="54"/>
  <c r="BD95" i="54"/>
  <c r="BC95" i="54"/>
  <c r="AY95" i="54"/>
  <c r="AX95" i="54"/>
  <c r="AW95" i="54"/>
  <c r="AV95" i="54"/>
  <c r="AU95" i="54"/>
  <c r="AT95" i="54"/>
  <c r="BH94" i="54"/>
  <c r="BG94" i="54"/>
  <c r="BF94" i="54"/>
  <c r="BE94" i="54"/>
  <c r="BD94" i="54"/>
  <c r="BC94" i="54"/>
  <c r="AY94" i="54"/>
  <c r="AX94" i="54"/>
  <c r="AW94" i="54"/>
  <c r="AV94" i="54"/>
  <c r="AU94" i="54"/>
  <c r="AT94" i="54"/>
  <c r="BH93" i="54"/>
  <c r="BG93" i="54"/>
  <c r="BF93" i="54"/>
  <c r="BE93" i="54"/>
  <c r="BD93" i="54"/>
  <c r="BC93" i="54"/>
  <c r="AY93" i="54"/>
  <c r="AX93" i="54"/>
  <c r="AW93" i="54"/>
  <c r="AV93" i="54"/>
  <c r="AU93" i="54"/>
  <c r="AT93" i="54"/>
  <c r="BH92" i="54"/>
  <c r="BG92" i="54"/>
  <c r="BF92" i="54"/>
  <c r="BE92" i="54"/>
  <c r="BD92" i="54"/>
  <c r="BC92" i="54"/>
  <c r="AY92" i="54"/>
  <c r="AX92" i="54"/>
  <c r="AW92" i="54"/>
  <c r="AV92" i="54"/>
  <c r="AU92" i="54"/>
  <c r="AT92" i="54"/>
  <c r="BH91" i="54"/>
  <c r="BG91" i="54"/>
  <c r="BF91" i="54"/>
  <c r="BE91" i="54"/>
  <c r="BD91" i="54"/>
  <c r="BC91" i="54"/>
  <c r="AY91" i="54"/>
  <c r="AX91" i="54"/>
  <c r="AW91" i="54"/>
  <c r="AV91" i="54"/>
  <c r="AU91" i="54"/>
  <c r="AT91" i="54"/>
  <c r="BH90" i="54"/>
  <c r="BG90" i="54"/>
  <c r="BF90" i="54"/>
  <c r="BE90" i="54"/>
  <c r="BD90" i="54"/>
  <c r="BC90" i="54"/>
  <c r="AY90" i="54"/>
  <c r="AX90" i="54"/>
  <c r="AW90" i="54"/>
  <c r="AV90" i="54"/>
  <c r="AU90" i="54"/>
  <c r="AT90" i="54"/>
  <c r="BH89" i="54"/>
  <c r="BG89" i="54"/>
  <c r="BF89" i="54"/>
  <c r="BE89" i="54"/>
  <c r="BD89" i="54"/>
  <c r="BC89" i="54"/>
  <c r="AY89" i="54"/>
  <c r="AX89" i="54"/>
  <c r="AW89" i="54"/>
  <c r="AV89" i="54"/>
  <c r="AU89" i="54"/>
  <c r="AT89" i="54"/>
  <c r="BH88" i="54"/>
  <c r="BG88" i="54"/>
  <c r="BF88" i="54"/>
  <c r="BE88" i="54"/>
  <c r="BD88" i="54"/>
  <c r="BC88" i="54"/>
  <c r="AY88" i="54"/>
  <c r="AX88" i="54"/>
  <c r="AW88" i="54"/>
  <c r="AV88" i="54"/>
  <c r="AU88" i="54"/>
  <c r="AT88" i="54"/>
  <c r="BH87" i="54"/>
  <c r="BG87" i="54"/>
  <c r="BF87" i="54"/>
  <c r="BE87" i="54"/>
  <c r="BD87" i="54"/>
  <c r="BC87" i="54"/>
  <c r="AY87" i="54"/>
  <c r="AX87" i="54"/>
  <c r="AW87" i="54"/>
  <c r="AV87" i="54"/>
  <c r="AU87" i="54"/>
  <c r="AT87" i="54"/>
  <c r="BH86" i="54"/>
  <c r="BG86" i="54"/>
  <c r="BF86" i="54"/>
  <c r="BE86" i="54"/>
  <c r="BD86" i="54"/>
  <c r="BC86" i="54"/>
  <c r="AY86" i="54"/>
  <c r="AX86" i="54"/>
  <c r="AW86" i="54"/>
  <c r="AV86" i="54"/>
  <c r="AU86" i="54"/>
  <c r="AT86" i="54"/>
  <c r="BH85" i="54"/>
  <c r="BG85" i="54"/>
  <c r="BF85" i="54"/>
  <c r="BE85" i="54"/>
  <c r="BD85" i="54"/>
  <c r="BC85" i="54"/>
  <c r="AY85" i="54"/>
  <c r="AX85" i="54"/>
  <c r="AW85" i="54"/>
  <c r="AV85" i="54"/>
  <c r="AU85" i="54"/>
  <c r="AT85" i="54"/>
  <c r="BH84" i="54"/>
  <c r="BG84" i="54"/>
  <c r="BF84" i="54"/>
  <c r="BE84" i="54"/>
  <c r="BD84" i="54"/>
  <c r="BC84" i="54"/>
  <c r="AY84" i="54"/>
  <c r="AX84" i="54"/>
  <c r="AW84" i="54"/>
  <c r="AV84" i="54"/>
  <c r="AU84" i="54"/>
  <c r="AT84" i="54"/>
  <c r="BH83" i="54"/>
  <c r="BG83" i="54"/>
  <c r="BF83" i="54"/>
  <c r="BE83" i="54"/>
  <c r="BD83" i="54"/>
  <c r="BC83" i="54"/>
  <c r="AY83" i="54"/>
  <c r="AX83" i="54"/>
  <c r="AW83" i="54"/>
  <c r="AV83" i="54"/>
  <c r="AU83" i="54"/>
  <c r="AT83" i="54"/>
  <c r="BH82" i="54"/>
  <c r="BG82" i="54"/>
  <c r="BF82" i="54"/>
  <c r="BE82" i="54"/>
  <c r="BD82" i="54"/>
  <c r="BC82" i="54"/>
  <c r="AY82" i="54"/>
  <c r="AX82" i="54"/>
  <c r="AW82" i="54"/>
  <c r="AV82" i="54"/>
  <c r="AU82" i="54"/>
  <c r="AT82" i="54"/>
  <c r="BH38" i="54"/>
  <c r="BG38" i="54"/>
  <c r="BF38" i="54"/>
  <c r="BE38" i="54"/>
  <c r="BD38" i="54"/>
  <c r="BC38" i="54"/>
  <c r="BH37" i="54"/>
  <c r="BG37" i="54"/>
  <c r="BF37" i="54"/>
  <c r="BE37" i="54"/>
  <c r="BD37" i="54"/>
  <c r="BC37" i="54"/>
  <c r="BH36" i="54"/>
  <c r="BG36" i="54"/>
  <c r="BF36" i="54"/>
  <c r="BE36" i="54"/>
  <c r="BD36" i="54"/>
  <c r="BC36" i="54"/>
  <c r="BH35" i="54"/>
  <c r="BG35" i="54"/>
  <c r="BF35" i="54"/>
  <c r="BE35" i="54"/>
  <c r="BD35" i="54"/>
  <c r="BC35" i="54"/>
  <c r="BH34" i="54"/>
  <c r="BG34" i="54"/>
  <c r="BF34" i="54"/>
  <c r="BE34" i="54"/>
  <c r="BD34" i="54"/>
  <c r="BC34" i="54"/>
  <c r="BH33" i="54"/>
  <c r="BG33" i="54"/>
  <c r="BF33" i="54"/>
  <c r="BE33" i="54"/>
  <c r="BD33" i="54"/>
  <c r="BC33" i="54"/>
  <c r="BH32" i="54"/>
  <c r="BG32" i="54"/>
  <c r="BF32" i="54"/>
  <c r="BE32" i="54"/>
  <c r="BD32" i="54"/>
  <c r="BC32" i="54"/>
  <c r="BH31" i="54"/>
  <c r="BG31" i="54"/>
  <c r="BF31" i="54"/>
  <c r="BE31" i="54"/>
  <c r="BD31" i="54"/>
  <c r="BC31" i="54"/>
  <c r="BH30" i="54"/>
  <c r="BG30" i="54"/>
  <c r="BF30" i="54"/>
  <c r="BE30" i="54"/>
  <c r="BD30" i="54"/>
  <c r="BC30" i="54"/>
  <c r="BH29" i="54"/>
  <c r="BG29" i="54"/>
  <c r="BF29" i="54"/>
  <c r="BE29" i="54"/>
  <c r="BD29" i="54"/>
  <c r="BC29" i="54"/>
  <c r="BH28" i="54"/>
  <c r="BG28" i="54"/>
  <c r="BF28" i="54"/>
  <c r="BE28" i="54"/>
  <c r="BD28" i="54"/>
  <c r="BC28" i="54"/>
  <c r="BH27" i="54"/>
  <c r="BG27" i="54"/>
  <c r="BF27" i="54"/>
  <c r="BE27" i="54"/>
  <c r="BD27" i="54"/>
  <c r="BC27" i="54"/>
  <c r="BH26" i="54"/>
  <c r="BG26" i="54"/>
  <c r="BF26" i="54"/>
  <c r="BE26" i="54"/>
  <c r="BD26" i="54"/>
  <c r="BC26" i="54"/>
  <c r="BH25" i="54"/>
  <c r="BG25" i="54"/>
  <c r="BF25" i="54"/>
  <c r="BE25" i="54"/>
  <c r="BD25" i="54"/>
  <c r="BC25" i="54"/>
  <c r="BH24" i="54"/>
  <c r="BG24" i="54"/>
  <c r="BF24" i="54"/>
  <c r="BE24" i="54"/>
  <c r="BD24" i="54"/>
  <c r="BC24" i="54"/>
  <c r="BH23" i="54"/>
  <c r="BG23" i="54"/>
  <c r="BF23" i="54"/>
  <c r="BE23" i="54"/>
  <c r="BD23" i="54"/>
  <c r="BC23" i="54"/>
  <c r="BH22" i="54"/>
  <c r="BG22" i="54"/>
  <c r="BF22" i="54"/>
  <c r="BE22" i="54"/>
  <c r="BD22" i="54"/>
  <c r="BC22" i="54"/>
  <c r="BD3" i="54"/>
  <c r="H50" i="54" s="1" a="1"/>
  <c r="H50" i="54" s="1"/>
  <c r="BU2" i="54"/>
  <c r="BT2" i="54"/>
  <c r="BN2" i="54"/>
  <c r="BM2" i="54"/>
  <c r="BL2" i="54"/>
  <c r="BK2" i="54"/>
  <c r="BJ2" i="54"/>
  <c r="BF2" i="54"/>
  <c r="BE2" i="54"/>
  <c r="BD2" i="54"/>
  <c r="AC2" i="54" l="1" a="1"/>
  <c r="AC2" i="54" s="1"/>
  <c r="AU3" i="54" s="1"/>
  <c r="AK2" i="54" a="1"/>
  <c r="AK2" i="54" s="1"/>
  <c r="AT4" i="54" s="1"/>
  <c r="AE3" i="54" a="1"/>
  <c r="AE3" i="54" s="1"/>
  <c r="AW6" i="54" s="1"/>
  <c r="AN3" i="54" a="1"/>
  <c r="AN3" i="54" s="1"/>
  <c r="AW7" i="54" s="1"/>
  <c r="AC5" i="54" a="1"/>
  <c r="AC5" i="54" s="1"/>
  <c r="AU12" i="54" s="1"/>
  <c r="AL5" i="54" a="1"/>
  <c r="AL5" i="54" s="1"/>
  <c r="AU13" i="54" s="1"/>
  <c r="AB2" i="54" a="1"/>
  <c r="AB2" i="54" s="1"/>
  <c r="AT3" i="54" s="1"/>
  <c r="AM3" i="54" a="1"/>
  <c r="AM3" i="54" s="1"/>
  <c r="AV7" i="54" s="1"/>
  <c r="AD2" i="54" a="1"/>
  <c r="AD2" i="54" s="1"/>
  <c r="AV3" i="54" s="1"/>
  <c r="AP2" i="54" a="1"/>
  <c r="AP2" i="54" s="1"/>
  <c r="AY4" i="54" s="1"/>
  <c r="AF3" i="54" a="1"/>
  <c r="AF3" i="54" s="1"/>
  <c r="AX6" i="54" s="1"/>
  <c r="AO3" i="54" a="1"/>
  <c r="AO3" i="54" s="1"/>
  <c r="AX7" i="54" s="1"/>
  <c r="AD5" i="54" a="1"/>
  <c r="AD5" i="54" s="1"/>
  <c r="AV12" i="54" s="1"/>
  <c r="AM5" i="54" a="1"/>
  <c r="AM5" i="54" s="1"/>
  <c r="AV13" i="54" s="1"/>
  <c r="AD3" i="54" a="1"/>
  <c r="AD3" i="54" s="1"/>
  <c r="AV6" i="54" s="1"/>
  <c r="AE2" i="54" a="1"/>
  <c r="AE2" i="54" s="1"/>
  <c r="AW3" i="54" s="1"/>
  <c r="AL2" i="54" a="1"/>
  <c r="AL2" i="54" s="1"/>
  <c r="AU4" i="54" s="1"/>
  <c r="AG3" i="54" a="1"/>
  <c r="AG3" i="54" s="1"/>
  <c r="AY6" i="54" s="1"/>
  <c r="AP3" i="54" a="1"/>
  <c r="AP3" i="54" s="1"/>
  <c r="AY7" i="54" s="1"/>
  <c r="AE5" i="54" a="1"/>
  <c r="AE5" i="54" s="1"/>
  <c r="AW12" i="54" s="1"/>
  <c r="AN5" i="54" a="1"/>
  <c r="AN5" i="54" s="1"/>
  <c r="AW13" i="54" s="1"/>
  <c r="AF5" i="54" a="1"/>
  <c r="AF5" i="54" s="1"/>
  <c r="AX12" i="54" s="1"/>
  <c r="AO5" i="54" a="1"/>
  <c r="AO5" i="54" s="1"/>
  <c r="AX13" i="54" s="1"/>
  <c r="AI3" i="54" a="1"/>
  <c r="AI3" i="54" s="1"/>
  <c r="AG2" i="54" a="1"/>
  <c r="AG2" i="54" s="1"/>
  <c r="AY3" i="54" s="1"/>
  <c r="AM2" i="54" a="1"/>
  <c r="AM2" i="54" s="1"/>
  <c r="AV4" i="54" s="1"/>
  <c r="AA3" i="54" a="1"/>
  <c r="AA3" i="54" s="1"/>
  <c r="AJ3" i="54" a="1"/>
  <c r="AJ3" i="54" s="1"/>
  <c r="Z4" i="54" a="1"/>
  <c r="Z4" i="54" s="1"/>
  <c r="AI4" i="54" a="1"/>
  <c r="AI4" i="54" s="1"/>
  <c r="AG5" i="54" a="1"/>
  <c r="AG5" i="54" s="1"/>
  <c r="AY12" i="54" s="1"/>
  <c r="AP5" i="54" a="1"/>
  <c r="AP5" i="54" s="1"/>
  <c r="AY13" i="54" s="1"/>
  <c r="AF2" i="54" a="1"/>
  <c r="AF2" i="54" s="1"/>
  <c r="AX3" i="54" s="1"/>
  <c r="Z2" i="54" a="1"/>
  <c r="Z2" i="54" s="1"/>
  <c r="AI2" i="54" a="1"/>
  <c r="AI2" i="54" s="1"/>
  <c r="AN2" i="54" a="1"/>
  <c r="AN2" i="54" s="1"/>
  <c r="AW4" i="54" s="1"/>
  <c r="AB3" i="54" a="1"/>
  <c r="AB3" i="54" s="1"/>
  <c r="AT6" i="54" s="1"/>
  <c r="AK3" i="54" a="1"/>
  <c r="AK3" i="54" s="1"/>
  <c r="AT7" i="54" s="1"/>
  <c r="AA4" i="54" a="1"/>
  <c r="AA4" i="54" s="1"/>
  <c r="AJ4" i="54" a="1"/>
  <c r="AJ4" i="54" s="1"/>
  <c r="Z5" i="54" a="1"/>
  <c r="Z5" i="54" s="1"/>
  <c r="AI5" i="54" a="1"/>
  <c r="AI5" i="54" s="1"/>
  <c r="Z3" i="54" a="1"/>
  <c r="Z3" i="54" s="1"/>
  <c r="AA2" i="54" a="1"/>
  <c r="AA2" i="54" s="1"/>
  <c r="AJ2" i="54" a="1"/>
  <c r="AJ2" i="54" s="1"/>
  <c r="AC3" i="54" a="1"/>
  <c r="AC3" i="54" s="1"/>
  <c r="AU6" i="54" s="1"/>
  <c r="AL3" i="54" a="1"/>
  <c r="AL3" i="54" s="1"/>
  <c r="AU7" i="54" s="1"/>
  <c r="AA5" i="54" a="1"/>
  <c r="AA5" i="54" s="1"/>
  <c r="AJ5" i="54" a="1"/>
  <c r="AJ5" i="54" s="1"/>
  <c r="AO2" i="54" a="1"/>
  <c r="AO2" i="54" s="1"/>
  <c r="AX4" i="54" s="1"/>
  <c r="AB5" i="54" a="1"/>
  <c r="AB5" i="54" s="1"/>
  <c r="AT12" i="54" s="1"/>
  <c r="AK5" i="54" a="1"/>
  <c r="AK5" i="54" s="1"/>
  <c r="AT13" i="54" s="1"/>
  <c r="E50" i="54" a="1"/>
  <c r="E50" i="54" s="1"/>
  <c r="I50" i="54" a="1"/>
  <c r="I50" i="54" s="1"/>
  <c r="B50" i="54" a="1"/>
  <c r="B50" i="54" s="1"/>
  <c r="F50" i="54" a="1"/>
  <c r="F50" i="54" s="1"/>
  <c r="J50" i="54" a="1"/>
  <c r="J50" i="54" s="1"/>
  <c r="C50" i="54" a="1"/>
  <c r="C50" i="54" s="1"/>
  <c r="G50" i="54" a="1"/>
  <c r="G50" i="54" s="1"/>
  <c r="D50" i="54" a="1"/>
  <c r="D50" i="54" s="1"/>
  <c r="H2" i="54" l="1"/>
  <c r="F2" i="54"/>
  <c r="D2" i="54"/>
  <c r="BH98" i="52"/>
  <c r="BG98" i="52"/>
  <c r="BF98" i="52"/>
  <c r="BE98" i="52"/>
  <c r="BD98" i="52"/>
  <c r="BC98" i="52"/>
  <c r="BH97" i="52"/>
  <c r="BG97" i="52"/>
  <c r="BF97" i="52"/>
  <c r="BE97" i="52"/>
  <c r="BD97" i="52"/>
  <c r="BC97" i="52"/>
  <c r="BH96" i="52"/>
  <c r="BG96" i="52"/>
  <c r="BF96" i="52"/>
  <c r="BE96" i="52"/>
  <c r="BD96" i="52"/>
  <c r="BC96" i="52"/>
  <c r="BH95" i="52"/>
  <c r="BG95" i="52"/>
  <c r="BF95" i="52"/>
  <c r="BE95" i="52"/>
  <c r="BD95" i="52"/>
  <c r="BC95" i="52"/>
  <c r="BH94" i="52"/>
  <c r="BG94" i="52"/>
  <c r="BF94" i="52"/>
  <c r="BE94" i="52"/>
  <c r="BD94" i="52"/>
  <c r="BC94" i="52"/>
  <c r="BH93" i="52"/>
  <c r="BG93" i="52"/>
  <c r="BF93" i="52"/>
  <c r="BE93" i="52"/>
  <c r="BD93" i="52"/>
  <c r="BC93" i="52"/>
  <c r="BH92" i="52"/>
  <c r="BG92" i="52"/>
  <c r="BF92" i="52"/>
  <c r="BE92" i="52"/>
  <c r="BD92" i="52"/>
  <c r="BC92" i="52"/>
  <c r="BH91" i="52"/>
  <c r="BG91" i="52"/>
  <c r="BF91" i="52"/>
  <c r="BE91" i="52"/>
  <c r="BD91" i="52"/>
  <c r="BC91" i="52"/>
  <c r="BH90" i="52"/>
  <c r="BG90" i="52"/>
  <c r="BF90" i="52"/>
  <c r="BE90" i="52"/>
  <c r="BD90" i="52"/>
  <c r="BC90" i="52"/>
  <c r="BH89" i="52"/>
  <c r="BG89" i="52"/>
  <c r="BF89" i="52"/>
  <c r="BE89" i="52"/>
  <c r="BD89" i="52"/>
  <c r="BC89" i="52"/>
  <c r="BH88" i="52"/>
  <c r="BG88" i="52"/>
  <c r="BF88" i="52"/>
  <c r="BE88" i="52"/>
  <c r="BD88" i="52"/>
  <c r="BC88" i="52"/>
  <c r="BH87" i="52"/>
  <c r="BG87" i="52"/>
  <c r="BF87" i="52"/>
  <c r="BE87" i="52"/>
  <c r="BD87" i="52"/>
  <c r="BC87" i="52"/>
  <c r="BH86" i="52"/>
  <c r="BG86" i="52"/>
  <c r="BF86" i="52"/>
  <c r="BE86" i="52"/>
  <c r="BD86" i="52"/>
  <c r="BC86" i="52"/>
  <c r="BH85" i="52"/>
  <c r="BG85" i="52"/>
  <c r="BF85" i="52"/>
  <c r="BE85" i="52"/>
  <c r="BD85" i="52"/>
  <c r="BC85" i="52"/>
  <c r="BH84" i="52"/>
  <c r="BG84" i="52"/>
  <c r="BF84" i="52"/>
  <c r="BE84" i="52"/>
  <c r="BD84" i="52"/>
  <c r="BC84" i="52"/>
  <c r="BH83" i="52"/>
  <c r="BG83" i="52"/>
  <c r="BF83" i="52"/>
  <c r="BE83" i="52"/>
  <c r="BD83" i="52"/>
  <c r="BC83" i="52"/>
  <c r="BH82" i="52"/>
  <c r="BG82" i="52"/>
  <c r="BF82" i="52"/>
  <c r="BE82" i="52"/>
  <c r="BD82" i="52"/>
  <c r="BC82" i="52"/>
  <c r="BH78" i="52"/>
  <c r="BG78" i="52"/>
  <c r="BF78" i="52"/>
  <c r="BE78" i="52"/>
  <c r="BD78" i="52"/>
  <c r="BC78" i="52"/>
  <c r="BH77" i="52"/>
  <c r="BG77" i="52"/>
  <c r="BF77" i="52"/>
  <c r="BE77" i="52"/>
  <c r="BD77" i="52"/>
  <c r="BC77" i="52"/>
  <c r="BH76" i="52"/>
  <c r="BG76" i="52"/>
  <c r="BF76" i="52"/>
  <c r="BE76" i="52"/>
  <c r="BD76" i="52"/>
  <c r="BC76" i="52"/>
  <c r="BH75" i="52"/>
  <c r="BG75" i="52"/>
  <c r="BF75" i="52"/>
  <c r="BE75" i="52"/>
  <c r="BD75" i="52"/>
  <c r="BC75" i="52"/>
  <c r="BH74" i="52"/>
  <c r="BG74" i="52"/>
  <c r="BF74" i="52"/>
  <c r="BE74" i="52"/>
  <c r="BD74" i="52"/>
  <c r="BC74" i="52"/>
  <c r="BH73" i="52"/>
  <c r="BG73" i="52"/>
  <c r="BF73" i="52"/>
  <c r="BE73" i="52"/>
  <c r="BD73" i="52"/>
  <c r="BC73" i="52"/>
  <c r="BH72" i="52"/>
  <c r="BG72" i="52"/>
  <c r="BF72" i="52"/>
  <c r="BE72" i="52"/>
  <c r="BD72" i="52"/>
  <c r="BC72" i="52"/>
  <c r="BH71" i="52"/>
  <c r="BG71" i="52"/>
  <c r="BF71" i="52"/>
  <c r="BE71" i="52"/>
  <c r="BD71" i="52"/>
  <c r="BC71" i="52"/>
  <c r="BH70" i="52"/>
  <c r="BG70" i="52"/>
  <c r="BF70" i="52"/>
  <c r="BE70" i="52"/>
  <c r="BD70" i="52"/>
  <c r="BC70" i="52"/>
  <c r="BH69" i="52"/>
  <c r="BG69" i="52"/>
  <c r="BF69" i="52"/>
  <c r="BE69" i="52"/>
  <c r="BD69" i="52"/>
  <c r="BC69" i="52"/>
  <c r="BH68" i="52"/>
  <c r="BG68" i="52"/>
  <c r="BF68" i="52"/>
  <c r="BE68" i="52"/>
  <c r="BD68" i="52"/>
  <c r="BC68" i="52"/>
  <c r="BH67" i="52"/>
  <c r="BG67" i="52"/>
  <c r="BF67" i="52"/>
  <c r="BE67" i="52"/>
  <c r="BD67" i="52"/>
  <c r="BC67" i="52"/>
  <c r="BH66" i="52"/>
  <c r="BG66" i="52"/>
  <c r="BF66" i="52"/>
  <c r="BE66" i="52"/>
  <c r="BD66" i="52"/>
  <c r="BC66" i="52"/>
  <c r="BH65" i="52"/>
  <c r="BG65" i="52"/>
  <c r="BF65" i="52"/>
  <c r="BE65" i="52"/>
  <c r="BD65" i="52"/>
  <c r="BC65" i="52"/>
  <c r="BH64" i="52"/>
  <c r="BG64" i="52"/>
  <c r="BF64" i="52"/>
  <c r="BE64" i="52"/>
  <c r="BD64" i="52"/>
  <c r="BC64" i="52"/>
  <c r="BH63" i="52"/>
  <c r="BG63" i="52"/>
  <c r="BF63" i="52"/>
  <c r="BE63" i="52"/>
  <c r="BD63" i="52"/>
  <c r="BC63" i="52"/>
  <c r="BH62" i="52"/>
  <c r="BG62" i="52"/>
  <c r="BF62" i="52"/>
  <c r="BE62" i="52"/>
  <c r="BD62" i="52"/>
  <c r="BC62" i="52"/>
  <c r="BH58" i="52"/>
  <c r="BG58" i="52"/>
  <c r="BF58" i="52"/>
  <c r="BE58" i="52"/>
  <c r="BD58" i="52"/>
  <c r="BC58" i="52"/>
  <c r="BH57" i="52"/>
  <c r="BG57" i="52"/>
  <c r="BF57" i="52"/>
  <c r="BE57" i="52"/>
  <c r="BD57" i="52"/>
  <c r="BC57" i="52"/>
  <c r="BH56" i="52"/>
  <c r="BG56" i="52"/>
  <c r="BF56" i="52"/>
  <c r="BE56" i="52"/>
  <c r="BD56" i="52"/>
  <c r="BC56" i="52"/>
  <c r="BH55" i="52"/>
  <c r="BG55" i="52"/>
  <c r="BF55" i="52"/>
  <c r="BE55" i="52"/>
  <c r="BD55" i="52"/>
  <c r="BC55" i="52"/>
  <c r="BH54" i="52"/>
  <c r="BG54" i="52"/>
  <c r="BF54" i="52"/>
  <c r="BE54" i="52"/>
  <c r="BD54" i="52"/>
  <c r="BC54" i="52"/>
  <c r="BH53" i="52"/>
  <c r="BG53" i="52"/>
  <c r="BF53" i="52"/>
  <c r="BE53" i="52"/>
  <c r="BD53" i="52"/>
  <c r="BC53" i="52"/>
  <c r="BH52" i="52"/>
  <c r="BG52" i="52"/>
  <c r="BF52" i="52"/>
  <c r="BE52" i="52"/>
  <c r="BD52" i="52"/>
  <c r="BC52" i="52"/>
  <c r="BH51" i="52"/>
  <c r="BG51" i="52"/>
  <c r="BF51" i="52"/>
  <c r="BE51" i="52"/>
  <c r="BD51" i="52"/>
  <c r="BC51" i="52"/>
  <c r="BH50" i="52"/>
  <c r="BG50" i="52"/>
  <c r="BF50" i="52"/>
  <c r="BE50" i="52"/>
  <c r="BD50" i="52"/>
  <c r="BC50" i="52"/>
  <c r="BH49" i="52"/>
  <c r="BG49" i="52"/>
  <c r="BF49" i="52"/>
  <c r="BE49" i="52"/>
  <c r="BD49" i="52"/>
  <c r="BC49" i="52"/>
  <c r="BH48" i="52"/>
  <c r="BG48" i="52"/>
  <c r="BF48" i="52"/>
  <c r="BE48" i="52"/>
  <c r="BD48" i="52"/>
  <c r="BC48" i="52"/>
  <c r="BH47" i="52"/>
  <c r="BG47" i="52"/>
  <c r="BF47" i="52"/>
  <c r="BE47" i="52"/>
  <c r="BD47" i="52"/>
  <c r="BC47" i="52"/>
  <c r="BH46" i="52"/>
  <c r="BG46" i="52"/>
  <c r="BF46" i="52"/>
  <c r="BE46" i="52"/>
  <c r="BD46" i="52"/>
  <c r="BC46" i="52"/>
  <c r="BH45" i="52"/>
  <c r="BG45" i="52"/>
  <c r="BF45" i="52"/>
  <c r="BE45" i="52"/>
  <c r="BD45" i="52"/>
  <c r="BC45" i="52"/>
  <c r="BH44" i="52"/>
  <c r="BG44" i="52"/>
  <c r="BF44" i="52"/>
  <c r="BE44" i="52"/>
  <c r="BD44" i="52"/>
  <c r="BC44" i="52"/>
  <c r="BH43" i="52"/>
  <c r="BG43" i="52"/>
  <c r="BF43" i="52"/>
  <c r="BE43" i="52"/>
  <c r="BD43" i="52"/>
  <c r="BC43" i="52"/>
  <c r="BH42" i="52"/>
  <c r="BG42" i="52"/>
  <c r="BF42" i="52"/>
  <c r="BE42" i="52"/>
  <c r="BD42" i="52"/>
  <c r="BC42" i="52"/>
  <c r="BH22" i="52"/>
  <c r="BH23" i="52"/>
  <c r="BH24" i="52"/>
  <c r="BH25" i="52"/>
  <c r="BH26" i="52"/>
  <c r="BH27" i="52"/>
  <c r="BH28" i="52"/>
  <c r="BH29" i="52"/>
  <c r="BH30" i="52"/>
  <c r="BH31" i="52"/>
  <c r="BH32" i="52"/>
  <c r="BH33" i="52"/>
  <c r="BH34" i="52"/>
  <c r="BH35" i="52"/>
  <c r="BH36" i="52"/>
  <c r="BH37" i="52"/>
  <c r="BH38" i="52"/>
  <c r="BG22" i="52"/>
  <c r="BG23" i="52"/>
  <c r="BG24" i="52"/>
  <c r="BG25" i="52"/>
  <c r="BG26" i="52"/>
  <c r="BG27" i="52"/>
  <c r="BG28" i="52"/>
  <c r="BG29" i="52"/>
  <c r="BG30" i="52"/>
  <c r="BG31" i="52"/>
  <c r="BG32" i="52"/>
  <c r="BG33" i="52"/>
  <c r="BG34" i="52"/>
  <c r="BG35" i="52"/>
  <c r="BG36" i="52"/>
  <c r="BG37" i="52"/>
  <c r="BG38" i="52"/>
  <c r="BF22" i="52"/>
  <c r="BF23" i="52"/>
  <c r="BF24" i="52"/>
  <c r="BF25" i="52"/>
  <c r="BF26" i="52"/>
  <c r="BF27" i="52"/>
  <c r="BF28" i="52"/>
  <c r="BF29" i="52"/>
  <c r="BF30" i="52"/>
  <c r="BF31" i="52"/>
  <c r="BF32" i="52"/>
  <c r="BF33" i="52"/>
  <c r="BF34" i="52"/>
  <c r="BF35" i="52"/>
  <c r="BF36" i="52"/>
  <c r="BF37" i="52"/>
  <c r="BF38" i="52"/>
  <c r="BE22" i="52"/>
  <c r="BE23" i="52"/>
  <c r="BE24" i="52"/>
  <c r="BE25" i="52"/>
  <c r="BE26" i="52"/>
  <c r="BE27" i="52"/>
  <c r="BE28" i="52"/>
  <c r="BE29" i="52"/>
  <c r="BE30" i="52"/>
  <c r="BE31" i="52"/>
  <c r="BE32" i="52"/>
  <c r="BE33" i="52"/>
  <c r="BE34" i="52"/>
  <c r="BE35" i="52"/>
  <c r="BE36" i="52"/>
  <c r="BE37" i="52"/>
  <c r="BE38" i="52"/>
  <c r="BD22" i="52"/>
  <c r="BD23" i="52"/>
  <c r="BD24" i="52"/>
  <c r="BD25" i="52"/>
  <c r="BD26" i="52"/>
  <c r="BD27" i="52"/>
  <c r="BD28" i="52"/>
  <c r="BD29" i="52"/>
  <c r="BD30" i="52"/>
  <c r="BD31" i="52"/>
  <c r="BD32" i="52"/>
  <c r="BD33" i="52"/>
  <c r="BD34" i="52"/>
  <c r="BD35" i="52"/>
  <c r="BD36" i="52"/>
  <c r="BD37" i="52"/>
  <c r="BD38" i="52"/>
  <c r="BC22" i="52"/>
  <c r="BC23" i="52"/>
  <c r="BC24" i="52"/>
  <c r="BC25" i="52"/>
  <c r="BC26" i="52"/>
  <c r="BC27" i="52"/>
  <c r="BC28" i="52"/>
  <c r="BC29" i="52"/>
  <c r="BC30" i="52"/>
  <c r="BC31" i="52"/>
  <c r="BC32" i="52"/>
  <c r="BC33" i="52"/>
  <c r="BC34" i="52"/>
  <c r="BC35" i="52"/>
  <c r="BC36" i="52"/>
  <c r="BC37" i="52"/>
  <c r="BC38" i="52"/>
  <c r="AY98" i="52"/>
  <c r="AX98" i="52"/>
  <c r="AW98" i="52"/>
  <c r="AV98" i="52"/>
  <c r="AU98" i="52"/>
  <c r="AT98" i="52"/>
  <c r="AY97" i="52"/>
  <c r="AX97" i="52"/>
  <c r="AW97" i="52"/>
  <c r="AV97" i="52"/>
  <c r="AU97" i="52"/>
  <c r="AT97" i="52"/>
  <c r="AY96" i="52"/>
  <c r="AX96" i="52"/>
  <c r="AW96" i="52"/>
  <c r="AV96" i="52"/>
  <c r="AU96" i="52"/>
  <c r="AT96" i="52"/>
  <c r="AY95" i="52"/>
  <c r="AX95" i="52"/>
  <c r="AW95" i="52"/>
  <c r="AV95" i="52"/>
  <c r="AU95" i="52"/>
  <c r="AT95" i="52"/>
  <c r="AY94" i="52"/>
  <c r="AX94" i="52"/>
  <c r="AW94" i="52"/>
  <c r="AV94" i="52"/>
  <c r="AU94" i="52"/>
  <c r="AT94" i="52"/>
  <c r="AY93" i="52"/>
  <c r="AX93" i="52"/>
  <c r="AW93" i="52"/>
  <c r="AV93" i="52"/>
  <c r="AU93" i="52"/>
  <c r="AT93" i="52"/>
  <c r="AY92" i="52"/>
  <c r="AX92" i="52"/>
  <c r="AW92" i="52"/>
  <c r="AV92" i="52"/>
  <c r="AU92" i="52"/>
  <c r="AT92" i="52"/>
  <c r="AY91" i="52"/>
  <c r="AX91" i="52"/>
  <c r="AW91" i="52"/>
  <c r="AV91" i="52"/>
  <c r="AU91" i="52"/>
  <c r="AT91" i="52"/>
  <c r="AY90" i="52"/>
  <c r="AX90" i="52"/>
  <c r="AW90" i="52"/>
  <c r="AV90" i="52"/>
  <c r="AU90" i="52"/>
  <c r="AT90" i="52"/>
  <c r="AY89" i="52"/>
  <c r="AX89" i="52"/>
  <c r="AW89" i="52"/>
  <c r="AV89" i="52"/>
  <c r="AU89" i="52"/>
  <c r="AT89" i="52"/>
  <c r="AY88" i="52"/>
  <c r="AX88" i="52"/>
  <c r="AW88" i="52"/>
  <c r="AV88" i="52"/>
  <c r="AU88" i="52"/>
  <c r="AT88" i="52"/>
  <c r="AY87" i="52"/>
  <c r="AX87" i="52"/>
  <c r="AW87" i="52"/>
  <c r="AV87" i="52"/>
  <c r="AU87" i="52"/>
  <c r="AT87" i="52"/>
  <c r="AY86" i="52"/>
  <c r="AX86" i="52"/>
  <c r="AW86" i="52"/>
  <c r="AV86" i="52"/>
  <c r="AU86" i="52"/>
  <c r="AT86" i="52"/>
  <c r="AY85" i="52"/>
  <c r="AX85" i="52"/>
  <c r="AW85" i="52"/>
  <c r="AV85" i="52"/>
  <c r="AU85" i="52"/>
  <c r="AT85" i="52"/>
  <c r="AY84" i="52"/>
  <c r="AX84" i="52"/>
  <c r="AW84" i="52"/>
  <c r="AV84" i="52"/>
  <c r="AU84" i="52"/>
  <c r="AT84" i="52"/>
  <c r="AY83" i="52"/>
  <c r="AX83" i="52"/>
  <c r="AW83" i="52"/>
  <c r="AV83" i="52"/>
  <c r="AU83" i="52"/>
  <c r="AT83" i="52"/>
  <c r="AY82" i="52"/>
  <c r="AX82" i="52"/>
  <c r="AW82" i="52"/>
  <c r="AV82" i="52"/>
  <c r="AU82" i="52"/>
  <c r="AT82" i="52"/>
  <c r="AY78" i="52"/>
  <c r="AX78" i="52"/>
  <c r="AW78" i="52"/>
  <c r="AV78" i="52"/>
  <c r="AU78" i="52"/>
  <c r="AT78" i="52"/>
  <c r="AY77" i="52"/>
  <c r="AX77" i="52"/>
  <c r="AW77" i="52"/>
  <c r="AV77" i="52"/>
  <c r="AU77" i="52"/>
  <c r="AT77" i="52"/>
  <c r="AY76" i="52"/>
  <c r="AX76" i="52"/>
  <c r="AW76" i="52"/>
  <c r="AV76" i="52"/>
  <c r="AU76" i="52"/>
  <c r="AT76" i="52"/>
  <c r="AY75" i="52"/>
  <c r="AX75" i="52"/>
  <c r="AW75" i="52"/>
  <c r="AV75" i="52"/>
  <c r="AU75" i="52"/>
  <c r="AT75" i="52"/>
  <c r="AY74" i="52"/>
  <c r="AX74" i="52"/>
  <c r="AW74" i="52"/>
  <c r="AV74" i="52"/>
  <c r="AU74" i="52"/>
  <c r="AT74" i="52"/>
  <c r="AY73" i="52"/>
  <c r="AX73" i="52"/>
  <c r="AW73" i="52"/>
  <c r="AV73" i="52"/>
  <c r="AU73" i="52"/>
  <c r="AT73" i="52"/>
  <c r="AY72" i="52"/>
  <c r="AX72" i="52"/>
  <c r="AW72" i="52"/>
  <c r="AV72" i="52"/>
  <c r="AU72" i="52"/>
  <c r="AT72" i="52"/>
  <c r="AY71" i="52"/>
  <c r="AX71" i="52"/>
  <c r="AW71" i="52"/>
  <c r="AV71" i="52"/>
  <c r="AU71" i="52"/>
  <c r="AT71" i="52"/>
  <c r="AY70" i="52"/>
  <c r="AX70" i="52"/>
  <c r="AW70" i="52"/>
  <c r="AV70" i="52"/>
  <c r="AU70" i="52"/>
  <c r="AT70" i="52"/>
  <c r="AY69" i="52"/>
  <c r="AX69" i="52"/>
  <c r="AW69" i="52"/>
  <c r="AV69" i="52"/>
  <c r="AU69" i="52"/>
  <c r="AT69" i="52"/>
  <c r="AY68" i="52"/>
  <c r="AX68" i="52"/>
  <c r="AW68" i="52"/>
  <c r="AV68" i="52"/>
  <c r="AU68" i="52"/>
  <c r="AT68" i="52"/>
  <c r="AY67" i="52"/>
  <c r="AX67" i="52"/>
  <c r="AW67" i="52"/>
  <c r="AV67" i="52"/>
  <c r="AU67" i="52"/>
  <c r="AT67" i="52"/>
  <c r="AY66" i="52"/>
  <c r="AX66" i="52"/>
  <c r="AW66" i="52"/>
  <c r="AV66" i="52"/>
  <c r="AU66" i="52"/>
  <c r="AT66" i="52"/>
  <c r="AY65" i="52"/>
  <c r="AX65" i="52"/>
  <c r="AW65" i="52"/>
  <c r="AV65" i="52"/>
  <c r="AU65" i="52"/>
  <c r="AT65" i="52"/>
  <c r="AY64" i="52"/>
  <c r="AX64" i="52"/>
  <c r="AW64" i="52"/>
  <c r="AV64" i="52"/>
  <c r="AU64" i="52"/>
  <c r="AT64" i="52"/>
  <c r="AY63" i="52"/>
  <c r="AX63" i="52"/>
  <c r="AW63" i="52"/>
  <c r="AV63" i="52"/>
  <c r="AU63" i="52"/>
  <c r="AT63" i="52"/>
  <c r="AY62" i="52"/>
  <c r="AX62" i="52"/>
  <c r="AW62" i="52"/>
  <c r="AV62" i="52"/>
  <c r="AU62" i="52"/>
  <c r="AT62" i="52"/>
  <c r="AY58" i="52"/>
  <c r="AX58" i="52"/>
  <c r="AW58" i="52"/>
  <c r="AV58" i="52"/>
  <c r="AU58" i="52"/>
  <c r="AT58" i="52"/>
  <c r="AY57" i="52"/>
  <c r="AX57" i="52"/>
  <c r="AW57" i="52"/>
  <c r="AV57" i="52"/>
  <c r="AU57" i="52"/>
  <c r="AT57" i="52"/>
  <c r="AY56" i="52"/>
  <c r="AX56" i="52"/>
  <c r="AW56" i="52"/>
  <c r="AV56" i="52"/>
  <c r="AU56" i="52"/>
  <c r="AT56" i="52"/>
  <c r="AY55" i="52"/>
  <c r="AX55" i="52"/>
  <c r="AW55" i="52"/>
  <c r="AV55" i="52"/>
  <c r="AU55" i="52"/>
  <c r="AT55" i="52"/>
  <c r="AY54" i="52"/>
  <c r="AX54" i="52"/>
  <c r="AW54" i="52"/>
  <c r="AV54" i="52"/>
  <c r="AU54" i="52"/>
  <c r="AT54" i="52"/>
  <c r="AY53" i="52"/>
  <c r="AX53" i="52"/>
  <c r="AW53" i="52"/>
  <c r="AV53" i="52"/>
  <c r="AU53" i="52"/>
  <c r="AT53" i="52"/>
  <c r="AY52" i="52"/>
  <c r="AX52" i="52"/>
  <c r="AW52" i="52"/>
  <c r="AV52" i="52"/>
  <c r="AU52" i="52"/>
  <c r="AT52" i="52"/>
  <c r="AY51" i="52"/>
  <c r="AX51" i="52"/>
  <c r="AW51" i="52"/>
  <c r="AV51" i="52"/>
  <c r="AU51" i="52"/>
  <c r="AT51" i="52"/>
  <c r="AY50" i="52"/>
  <c r="AX50" i="52"/>
  <c r="AW50" i="52"/>
  <c r="AV50" i="52"/>
  <c r="AU50" i="52"/>
  <c r="AT50" i="52"/>
  <c r="AY49" i="52"/>
  <c r="AX49" i="52"/>
  <c r="AW49" i="52"/>
  <c r="AV49" i="52"/>
  <c r="AU49" i="52"/>
  <c r="AT49" i="52"/>
  <c r="AY48" i="52"/>
  <c r="AX48" i="52"/>
  <c r="AW48" i="52"/>
  <c r="AV48" i="52"/>
  <c r="AU48" i="52"/>
  <c r="AT48" i="52"/>
  <c r="AY47" i="52"/>
  <c r="AX47" i="52"/>
  <c r="AW47" i="52"/>
  <c r="AV47" i="52"/>
  <c r="AU47" i="52"/>
  <c r="AT47" i="52"/>
  <c r="AY46" i="52"/>
  <c r="AX46" i="52"/>
  <c r="AW46" i="52"/>
  <c r="AV46" i="52"/>
  <c r="AU46" i="52"/>
  <c r="AT46" i="52"/>
  <c r="AY45" i="52"/>
  <c r="AX45" i="52"/>
  <c r="AW45" i="52"/>
  <c r="AV45" i="52"/>
  <c r="AU45" i="52"/>
  <c r="AT45" i="52"/>
  <c r="AY44" i="52"/>
  <c r="AX44" i="52"/>
  <c r="AW44" i="52"/>
  <c r="AV44" i="52"/>
  <c r="AU44" i="52"/>
  <c r="AT44" i="52"/>
  <c r="AY43" i="52"/>
  <c r="AX43" i="52"/>
  <c r="AW43" i="52"/>
  <c r="AV43" i="52"/>
  <c r="AU43" i="52"/>
  <c r="AT43" i="52"/>
  <c r="AY42" i="52"/>
  <c r="AX42" i="52"/>
  <c r="AW42" i="52"/>
  <c r="AV42" i="52"/>
  <c r="AU42" i="52"/>
  <c r="AT42" i="52"/>
  <c r="AY22" i="52"/>
  <c r="AY23" i="52"/>
  <c r="AY24" i="52"/>
  <c r="AY25" i="52"/>
  <c r="AY26" i="52"/>
  <c r="AY27" i="52"/>
  <c r="AY28" i="52"/>
  <c r="AY29" i="52"/>
  <c r="AY30" i="52"/>
  <c r="AY31" i="52"/>
  <c r="AY32" i="52"/>
  <c r="AY33" i="52"/>
  <c r="AY34" i="52"/>
  <c r="AY35" i="52"/>
  <c r="AY36" i="52"/>
  <c r="AY37" i="52"/>
  <c r="AY38" i="52"/>
  <c r="AX22" i="52"/>
  <c r="AX23" i="52"/>
  <c r="AX24" i="52"/>
  <c r="AX25" i="52"/>
  <c r="AX26" i="52"/>
  <c r="AX27" i="52"/>
  <c r="AX28" i="52"/>
  <c r="AX29" i="52"/>
  <c r="AX30" i="52"/>
  <c r="AX31" i="52"/>
  <c r="AX32" i="52"/>
  <c r="AX33" i="52"/>
  <c r="AX34" i="52"/>
  <c r="AX35" i="52"/>
  <c r="AX36" i="52"/>
  <c r="AX37" i="52"/>
  <c r="AX38" i="52"/>
  <c r="AW22" i="52"/>
  <c r="AW23" i="52"/>
  <c r="AW24" i="52"/>
  <c r="AW25" i="52"/>
  <c r="AW26" i="52"/>
  <c r="AW27" i="52"/>
  <c r="AW28" i="52"/>
  <c r="AW29" i="52"/>
  <c r="AW30" i="52"/>
  <c r="AW31" i="52"/>
  <c r="AW32" i="52"/>
  <c r="AW33" i="52"/>
  <c r="AW34" i="52"/>
  <c r="AW35" i="52"/>
  <c r="AW36" i="52"/>
  <c r="AW37" i="52"/>
  <c r="AW38" i="52"/>
  <c r="AV22" i="52"/>
  <c r="AV23" i="52"/>
  <c r="AV24" i="52"/>
  <c r="AV25" i="52"/>
  <c r="AV26" i="52"/>
  <c r="AV27" i="52"/>
  <c r="AV28" i="52"/>
  <c r="AV29" i="52"/>
  <c r="AV30" i="52"/>
  <c r="AV31" i="52"/>
  <c r="AV32" i="52"/>
  <c r="AV33" i="52"/>
  <c r="AV34" i="52"/>
  <c r="AV35" i="52"/>
  <c r="AV36" i="52"/>
  <c r="AV37" i="52"/>
  <c r="AV38" i="52"/>
  <c r="AU22" i="52"/>
  <c r="AU23" i="52"/>
  <c r="AU24" i="52"/>
  <c r="AU25" i="52"/>
  <c r="AU26" i="52"/>
  <c r="AU27" i="52"/>
  <c r="AU28" i="52"/>
  <c r="AU29" i="52"/>
  <c r="AU30" i="52"/>
  <c r="AU31" i="52"/>
  <c r="AU32" i="52"/>
  <c r="AU33" i="52"/>
  <c r="AU34" i="52"/>
  <c r="AU35" i="52"/>
  <c r="AU36" i="52"/>
  <c r="AU37" i="52"/>
  <c r="AU38" i="52"/>
  <c r="AT22" i="52"/>
  <c r="AT23" i="52"/>
  <c r="AT24" i="52"/>
  <c r="AT25" i="52"/>
  <c r="AT26" i="52"/>
  <c r="AT27" i="52"/>
  <c r="AT28" i="52"/>
  <c r="AT29" i="52"/>
  <c r="AT30" i="52"/>
  <c r="AT31" i="52"/>
  <c r="AT32" i="52"/>
  <c r="AT33" i="52"/>
  <c r="AT34" i="52"/>
  <c r="AT35" i="52"/>
  <c r="AT36" i="52"/>
  <c r="AT37" i="52"/>
  <c r="AT38" i="52"/>
  <c r="BD3" i="52"/>
  <c r="BU2" i="52"/>
  <c r="BT2" i="52"/>
  <c r="BN2" i="52"/>
  <c r="BM2" i="52"/>
  <c r="BL2" i="52"/>
  <c r="BK2" i="52"/>
  <c r="BJ2" i="52"/>
  <c r="BF2" i="52"/>
  <c r="BE2" i="52"/>
  <c r="BD2" i="52"/>
  <c r="BH78" i="48"/>
  <c r="BG78" i="48"/>
  <c r="BF78" i="48"/>
  <c r="BE78" i="48"/>
  <c r="BD78" i="48"/>
  <c r="BC78" i="48"/>
  <c r="BH77" i="48"/>
  <c r="BG77" i="48"/>
  <c r="BF77" i="48"/>
  <c r="BE77" i="48"/>
  <c r="BD77" i="48"/>
  <c r="BC77" i="48"/>
  <c r="BH76" i="48"/>
  <c r="BG76" i="48"/>
  <c r="BF76" i="48"/>
  <c r="BE76" i="48"/>
  <c r="BD76" i="48"/>
  <c r="BC76" i="48"/>
  <c r="BH75" i="48"/>
  <c r="BG75" i="48"/>
  <c r="BF75" i="48"/>
  <c r="BE75" i="48"/>
  <c r="BD75" i="48"/>
  <c r="BC75" i="48"/>
  <c r="BH74" i="48"/>
  <c r="BG74" i="48"/>
  <c r="BF74" i="48"/>
  <c r="BE74" i="48"/>
  <c r="BD74" i="48"/>
  <c r="BC74" i="48"/>
  <c r="BH73" i="48"/>
  <c r="BG73" i="48"/>
  <c r="BF73" i="48"/>
  <c r="BE73" i="48"/>
  <c r="BD73" i="48"/>
  <c r="BC73" i="48"/>
  <c r="BH72" i="48"/>
  <c r="BG72" i="48"/>
  <c r="BF72" i="48"/>
  <c r="BE72" i="48"/>
  <c r="BD72" i="48"/>
  <c r="BC72" i="48"/>
  <c r="BH71" i="48"/>
  <c r="BG71" i="48"/>
  <c r="BF71" i="48"/>
  <c r="BE71" i="48"/>
  <c r="BD71" i="48"/>
  <c r="BC71" i="48"/>
  <c r="BH70" i="48"/>
  <c r="BG70" i="48"/>
  <c r="BF70" i="48"/>
  <c r="BE70" i="48"/>
  <c r="BD70" i="48"/>
  <c r="BC70" i="48"/>
  <c r="BH69" i="48"/>
  <c r="BG69" i="48"/>
  <c r="BF69" i="48"/>
  <c r="BE69" i="48"/>
  <c r="BD69" i="48"/>
  <c r="BC69" i="48"/>
  <c r="BH68" i="48"/>
  <c r="BG68" i="48"/>
  <c r="BF68" i="48"/>
  <c r="BE68" i="48"/>
  <c r="BD68" i="48"/>
  <c r="BC68" i="48"/>
  <c r="BH67" i="48"/>
  <c r="BG67" i="48"/>
  <c r="BF67" i="48"/>
  <c r="BE67" i="48"/>
  <c r="BD67" i="48"/>
  <c r="BC67" i="48"/>
  <c r="BH66" i="48"/>
  <c r="BG66" i="48"/>
  <c r="BF66" i="48"/>
  <c r="BE66" i="48"/>
  <c r="BD66" i="48"/>
  <c r="BC66" i="48"/>
  <c r="BH65" i="48"/>
  <c r="BG65" i="48"/>
  <c r="BF65" i="48"/>
  <c r="BE65" i="48"/>
  <c r="BD65" i="48"/>
  <c r="BC65" i="48"/>
  <c r="BH64" i="48"/>
  <c r="BG64" i="48"/>
  <c r="BF64" i="48"/>
  <c r="BE64" i="48"/>
  <c r="BD64" i="48"/>
  <c r="BC64" i="48"/>
  <c r="BH63" i="48"/>
  <c r="BG63" i="48"/>
  <c r="BF63" i="48"/>
  <c r="BE63" i="48"/>
  <c r="BD63" i="48"/>
  <c r="BC63" i="48"/>
  <c r="BH62" i="48"/>
  <c r="BG62" i="48"/>
  <c r="BF62" i="48"/>
  <c r="BE62" i="48"/>
  <c r="BD62" i="48"/>
  <c r="BC62" i="48"/>
  <c r="AY78" i="48"/>
  <c r="AX78" i="48"/>
  <c r="AW78" i="48"/>
  <c r="AV78" i="48"/>
  <c r="AU78" i="48"/>
  <c r="AT78" i="48"/>
  <c r="AY77" i="48"/>
  <c r="AX77" i="48"/>
  <c r="AW77" i="48"/>
  <c r="AV77" i="48"/>
  <c r="AU77" i="48"/>
  <c r="AT77" i="48"/>
  <c r="AY76" i="48"/>
  <c r="AX76" i="48"/>
  <c r="AW76" i="48"/>
  <c r="AV76" i="48"/>
  <c r="AU76" i="48"/>
  <c r="AT76" i="48"/>
  <c r="AY75" i="48"/>
  <c r="AX75" i="48"/>
  <c r="AW75" i="48"/>
  <c r="AV75" i="48"/>
  <c r="AU75" i="48"/>
  <c r="AT75" i="48"/>
  <c r="AY74" i="48"/>
  <c r="AX74" i="48"/>
  <c r="AW74" i="48"/>
  <c r="AV74" i="48"/>
  <c r="AU74" i="48"/>
  <c r="AT74" i="48"/>
  <c r="AY73" i="48"/>
  <c r="AX73" i="48"/>
  <c r="AW73" i="48"/>
  <c r="AV73" i="48"/>
  <c r="AU73" i="48"/>
  <c r="AT73" i="48"/>
  <c r="AY72" i="48"/>
  <c r="AX72" i="48"/>
  <c r="AW72" i="48"/>
  <c r="AV72" i="48"/>
  <c r="AU72" i="48"/>
  <c r="AT72" i="48"/>
  <c r="AY71" i="48"/>
  <c r="AX71" i="48"/>
  <c r="AW71" i="48"/>
  <c r="AV71" i="48"/>
  <c r="AU71" i="48"/>
  <c r="AT71" i="48"/>
  <c r="AY70" i="48"/>
  <c r="AX70" i="48"/>
  <c r="AW70" i="48"/>
  <c r="AV70" i="48"/>
  <c r="AU70" i="48"/>
  <c r="AT70" i="48"/>
  <c r="AY69" i="48"/>
  <c r="AX69" i="48"/>
  <c r="AW69" i="48"/>
  <c r="AV69" i="48"/>
  <c r="AU69" i="48"/>
  <c r="AT69" i="48"/>
  <c r="AY68" i="48"/>
  <c r="AX68" i="48"/>
  <c r="AW68" i="48"/>
  <c r="AV68" i="48"/>
  <c r="AU68" i="48"/>
  <c r="AT68" i="48"/>
  <c r="AY67" i="48"/>
  <c r="AX67" i="48"/>
  <c r="AW67" i="48"/>
  <c r="AV67" i="48"/>
  <c r="AU67" i="48"/>
  <c r="AT67" i="48"/>
  <c r="AY66" i="48"/>
  <c r="AX66" i="48"/>
  <c r="AW66" i="48"/>
  <c r="AV66" i="48"/>
  <c r="AU66" i="48"/>
  <c r="AT66" i="48"/>
  <c r="AY65" i="48"/>
  <c r="AX65" i="48"/>
  <c r="AW65" i="48"/>
  <c r="AV65" i="48"/>
  <c r="AU65" i="48"/>
  <c r="AT65" i="48"/>
  <c r="AY64" i="48"/>
  <c r="AX64" i="48"/>
  <c r="AW64" i="48"/>
  <c r="AV64" i="48"/>
  <c r="AU64" i="48"/>
  <c r="AT64" i="48"/>
  <c r="AY63" i="48"/>
  <c r="AX63" i="48"/>
  <c r="AW63" i="48"/>
  <c r="AV63" i="48"/>
  <c r="AU63" i="48"/>
  <c r="AT63" i="48"/>
  <c r="AY62" i="48"/>
  <c r="AX62" i="48"/>
  <c r="AW62" i="48"/>
  <c r="AV62" i="48"/>
  <c r="AU62" i="48"/>
  <c r="AT62" i="48"/>
  <c r="BH58" i="48"/>
  <c r="BG58" i="48"/>
  <c r="BF58" i="48"/>
  <c r="BE58" i="48"/>
  <c r="BD58" i="48"/>
  <c r="BC58" i="48"/>
  <c r="BH57" i="48"/>
  <c r="BG57" i="48"/>
  <c r="BF57" i="48"/>
  <c r="BE57" i="48"/>
  <c r="BD57" i="48"/>
  <c r="BC57" i="48"/>
  <c r="BH56" i="48"/>
  <c r="BG56" i="48"/>
  <c r="BF56" i="48"/>
  <c r="BE56" i="48"/>
  <c r="BD56" i="48"/>
  <c r="BC56" i="48"/>
  <c r="BH55" i="48"/>
  <c r="BG55" i="48"/>
  <c r="BF55" i="48"/>
  <c r="BE55" i="48"/>
  <c r="BD55" i="48"/>
  <c r="BC55" i="48"/>
  <c r="BH54" i="48"/>
  <c r="BG54" i="48"/>
  <c r="BF54" i="48"/>
  <c r="BE54" i="48"/>
  <c r="BD54" i="48"/>
  <c r="BC54" i="48"/>
  <c r="BH53" i="48"/>
  <c r="BG53" i="48"/>
  <c r="BF53" i="48"/>
  <c r="BE53" i="48"/>
  <c r="BD53" i="48"/>
  <c r="BC53" i="48"/>
  <c r="BH52" i="48"/>
  <c r="BG52" i="48"/>
  <c r="BF52" i="48"/>
  <c r="BE52" i="48"/>
  <c r="BD52" i="48"/>
  <c r="BC52" i="48"/>
  <c r="BH51" i="48"/>
  <c r="BG51" i="48"/>
  <c r="BF51" i="48"/>
  <c r="BE51" i="48"/>
  <c r="BD51" i="48"/>
  <c r="BC51" i="48"/>
  <c r="BH50" i="48"/>
  <c r="BG50" i="48"/>
  <c r="BF50" i="48"/>
  <c r="BE50" i="48"/>
  <c r="BD50" i="48"/>
  <c r="BC50" i="48"/>
  <c r="BH49" i="48"/>
  <c r="BG49" i="48"/>
  <c r="BF49" i="48"/>
  <c r="BE49" i="48"/>
  <c r="BD49" i="48"/>
  <c r="BC49" i="48"/>
  <c r="BH48" i="48"/>
  <c r="BG48" i="48"/>
  <c r="BF48" i="48"/>
  <c r="BE48" i="48"/>
  <c r="BD48" i="48"/>
  <c r="BC48" i="48"/>
  <c r="BH47" i="48"/>
  <c r="BG47" i="48"/>
  <c r="BF47" i="48"/>
  <c r="BE47" i="48"/>
  <c r="BD47" i="48"/>
  <c r="BC47" i="48"/>
  <c r="BH46" i="48"/>
  <c r="BG46" i="48"/>
  <c r="BF46" i="48"/>
  <c r="BE46" i="48"/>
  <c r="BD46" i="48"/>
  <c r="BC46" i="48"/>
  <c r="BH45" i="48"/>
  <c r="BG45" i="48"/>
  <c r="BF45" i="48"/>
  <c r="BE45" i="48"/>
  <c r="BD45" i="48"/>
  <c r="BC45" i="48"/>
  <c r="BH44" i="48"/>
  <c r="BG44" i="48"/>
  <c r="BF44" i="48"/>
  <c r="BE44" i="48"/>
  <c r="BD44" i="48"/>
  <c r="BC44" i="48"/>
  <c r="BH43" i="48"/>
  <c r="BG43" i="48"/>
  <c r="BF43" i="48"/>
  <c r="BE43" i="48"/>
  <c r="BD43" i="48"/>
  <c r="BC43" i="48"/>
  <c r="BH42" i="48"/>
  <c r="BG42" i="48"/>
  <c r="BF42" i="48"/>
  <c r="BE42" i="48"/>
  <c r="BD42" i="48"/>
  <c r="BC42" i="48"/>
  <c r="AY58" i="48"/>
  <c r="AX58" i="48"/>
  <c r="AW58" i="48"/>
  <c r="AV58" i="48"/>
  <c r="AU58" i="48"/>
  <c r="AT58" i="48"/>
  <c r="AY57" i="48"/>
  <c r="AX57" i="48"/>
  <c r="AW57" i="48"/>
  <c r="AV57" i="48"/>
  <c r="AU57" i="48"/>
  <c r="AT57" i="48"/>
  <c r="AY56" i="48"/>
  <c r="AX56" i="48"/>
  <c r="AW56" i="48"/>
  <c r="AV56" i="48"/>
  <c r="AU56" i="48"/>
  <c r="AT56" i="48"/>
  <c r="AY55" i="48"/>
  <c r="AX55" i="48"/>
  <c r="AW55" i="48"/>
  <c r="AV55" i="48"/>
  <c r="AU55" i="48"/>
  <c r="AT55" i="48"/>
  <c r="AY54" i="48"/>
  <c r="AX54" i="48"/>
  <c r="AW54" i="48"/>
  <c r="AV54" i="48"/>
  <c r="AU54" i="48"/>
  <c r="AT54" i="48"/>
  <c r="AY53" i="48"/>
  <c r="AX53" i="48"/>
  <c r="AW53" i="48"/>
  <c r="AV53" i="48"/>
  <c r="AU53" i="48"/>
  <c r="AT53" i="48"/>
  <c r="AY52" i="48"/>
  <c r="AX52" i="48"/>
  <c r="AW52" i="48"/>
  <c r="AV52" i="48"/>
  <c r="AU52" i="48"/>
  <c r="AT52" i="48"/>
  <c r="AY51" i="48"/>
  <c r="AX51" i="48"/>
  <c r="AW51" i="48"/>
  <c r="AV51" i="48"/>
  <c r="AU51" i="48"/>
  <c r="AT51" i="48"/>
  <c r="AY50" i="48"/>
  <c r="AX50" i="48"/>
  <c r="AW50" i="48"/>
  <c r="AV50" i="48"/>
  <c r="AU50" i="48"/>
  <c r="AT50" i="48"/>
  <c r="AY49" i="48"/>
  <c r="AX49" i="48"/>
  <c r="AW49" i="48"/>
  <c r="AV49" i="48"/>
  <c r="AU49" i="48"/>
  <c r="AT49" i="48"/>
  <c r="AY48" i="48"/>
  <c r="AX48" i="48"/>
  <c r="AW48" i="48"/>
  <c r="AV48" i="48"/>
  <c r="AU48" i="48"/>
  <c r="AT48" i="48"/>
  <c r="AY47" i="48"/>
  <c r="AX47" i="48"/>
  <c r="AW47" i="48"/>
  <c r="AV47" i="48"/>
  <c r="AU47" i="48"/>
  <c r="AT47" i="48"/>
  <c r="AY46" i="48"/>
  <c r="AX46" i="48"/>
  <c r="AW46" i="48"/>
  <c r="AV46" i="48"/>
  <c r="AU46" i="48"/>
  <c r="AT46" i="48"/>
  <c r="AY45" i="48"/>
  <c r="AX45" i="48"/>
  <c r="AW45" i="48"/>
  <c r="AV45" i="48"/>
  <c r="AU45" i="48"/>
  <c r="AT45" i="48"/>
  <c r="AY44" i="48"/>
  <c r="AX44" i="48"/>
  <c r="AW44" i="48"/>
  <c r="AV44" i="48"/>
  <c r="AU44" i="48"/>
  <c r="AT44" i="48"/>
  <c r="AY43" i="48"/>
  <c r="AX43" i="48"/>
  <c r="AW43" i="48"/>
  <c r="AV43" i="48"/>
  <c r="AU43" i="48"/>
  <c r="AT43" i="48"/>
  <c r="AY42" i="48"/>
  <c r="AX42" i="48"/>
  <c r="AW42" i="48"/>
  <c r="AV42" i="48"/>
  <c r="AU42" i="48"/>
  <c r="AT42" i="48"/>
  <c r="BH22" i="48"/>
  <c r="BH23" i="48"/>
  <c r="BH24" i="48"/>
  <c r="BH25" i="48"/>
  <c r="BH26" i="48"/>
  <c r="BH27" i="48"/>
  <c r="BH28" i="48"/>
  <c r="BH29" i="48"/>
  <c r="BH30" i="48"/>
  <c r="BH31" i="48"/>
  <c r="BH32" i="48"/>
  <c r="BH33" i="48"/>
  <c r="BH34" i="48"/>
  <c r="BH35" i="48"/>
  <c r="BH36" i="48"/>
  <c r="BH37" i="48"/>
  <c r="BH38" i="48"/>
  <c r="BG22" i="48"/>
  <c r="BG23" i="48"/>
  <c r="BG24" i="48"/>
  <c r="BG25" i="48"/>
  <c r="BG26" i="48"/>
  <c r="BG27" i="48"/>
  <c r="BG28" i="48"/>
  <c r="BG29" i="48"/>
  <c r="BG30" i="48"/>
  <c r="BG31" i="48"/>
  <c r="BG32" i="48"/>
  <c r="BG33" i="48"/>
  <c r="BG34" i="48"/>
  <c r="BG35" i="48"/>
  <c r="BG36" i="48"/>
  <c r="BG37" i="48"/>
  <c r="BG38" i="48"/>
  <c r="BF22" i="48"/>
  <c r="BF23" i="48"/>
  <c r="BF24" i="48"/>
  <c r="BF25" i="48"/>
  <c r="BF26" i="48"/>
  <c r="BF27" i="48"/>
  <c r="BF28" i="48"/>
  <c r="BF29" i="48"/>
  <c r="BF30" i="48"/>
  <c r="BF31" i="48"/>
  <c r="BF32" i="48"/>
  <c r="BF33" i="48"/>
  <c r="BF34" i="48"/>
  <c r="BF35" i="48"/>
  <c r="BF36" i="48"/>
  <c r="BF37" i="48"/>
  <c r="BF38" i="48"/>
  <c r="BE22" i="48"/>
  <c r="BE23" i="48"/>
  <c r="BE24" i="48"/>
  <c r="BE25" i="48"/>
  <c r="BE26" i="48"/>
  <c r="BE27" i="48"/>
  <c r="BE28" i="48"/>
  <c r="BE29" i="48"/>
  <c r="BE30" i="48"/>
  <c r="BE31" i="48"/>
  <c r="BE32" i="48"/>
  <c r="BE33" i="48"/>
  <c r="BE34" i="48"/>
  <c r="BE35" i="48"/>
  <c r="BE36" i="48"/>
  <c r="BE37" i="48"/>
  <c r="BE38" i="48"/>
  <c r="BD22" i="48"/>
  <c r="BD23" i="48"/>
  <c r="BD24" i="48"/>
  <c r="BD25" i="48"/>
  <c r="BD26" i="48"/>
  <c r="BD27" i="48"/>
  <c r="BD28" i="48"/>
  <c r="BD29" i="48"/>
  <c r="BD30" i="48"/>
  <c r="BD31" i="48"/>
  <c r="BD32" i="48"/>
  <c r="BD33" i="48"/>
  <c r="BD34" i="48"/>
  <c r="BD35" i="48"/>
  <c r="BD36" i="48"/>
  <c r="BD37" i="48"/>
  <c r="BD38" i="48"/>
  <c r="BC22" i="48"/>
  <c r="BC23" i="48"/>
  <c r="BC24" i="48"/>
  <c r="BC25" i="48"/>
  <c r="BC26" i="48"/>
  <c r="BC27" i="48"/>
  <c r="BC28" i="48"/>
  <c r="BC29" i="48"/>
  <c r="BC30" i="48"/>
  <c r="BC31" i="48"/>
  <c r="BC32" i="48"/>
  <c r="BC33" i="48"/>
  <c r="BC34" i="48"/>
  <c r="BC35" i="48"/>
  <c r="BC36" i="48"/>
  <c r="BC37" i="48"/>
  <c r="BC38" i="48"/>
  <c r="AY22" i="48"/>
  <c r="AY23" i="48"/>
  <c r="AY24" i="48"/>
  <c r="AY25" i="48"/>
  <c r="AY26" i="48"/>
  <c r="AY27" i="48"/>
  <c r="AY28" i="48"/>
  <c r="AY29" i="48"/>
  <c r="AY30" i="48"/>
  <c r="AY31" i="48"/>
  <c r="AY32" i="48"/>
  <c r="AY33" i="48"/>
  <c r="AY34" i="48"/>
  <c r="AY35" i="48"/>
  <c r="AY36" i="48"/>
  <c r="AY37" i="48"/>
  <c r="AY38" i="48"/>
  <c r="AX22" i="48"/>
  <c r="AX23" i="48"/>
  <c r="AX24" i="48"/>
  <c r="AX25" i="48"/>
  <c r="AX26" i="48"/>
  <c r="AX27" i="48"/>
  <c r="AX28" i="48"/>
  <c r="AX29" i="48"/>
  <c r="AX30" i="48"/>
  <c r="AX31" i="48"/>
  <c r="AX32" i="48"/>
  <c r="AX33" i="48"/>
  <c r="AX34" i="48"/>
  <c r="AX35" i="48"/>
  <c r="AX36" i="48"/>
  <c r="AX37" i="48"/>
  <c r="AX38" i="48"/>
  <c r="AW22" i="48"/>
  <c r="AW23" i="48"/>
  <c r="AW24" i="48"/>
  <c r="AW25" i="48"/>
  <c r="AW26" i="48"/>
  <c r="AW27" i="48"/>
  <c r="AW28" i="48"/>
  <c r="AW29" i="48"/>
  <c r="AW30" i="48"/>
  <c r="AW31" i="48"/>
  <c r="AW32" i="48"/>
  <c r="AW33" i="48"/>
  <c r="AW34" i="48"/>
  <c r="AW35" i="48"/>
  <c r="AW36" i="48"/>
  <c r="AW37" i="48"/>
  <c r="AW38" i="48"/>
  <c r="AV22" i="48"/>
  <c r="AV23" i="48"/>
  <c r="AV24" i="48"/>
  <c r="AV25" i="48"/>
  <c r="AV26" i="48"/>
  <c r="AV27" i="48"/>
  <c r="AV28" i="48"/>
  <c r="AV29" i="48"/>
  <c r="AV30" i="48"/>
  <c r="AV31" i="48"/>
  <c r="AV32" i="48"/>
  <c r="AV33" i="48"/>
  <c r="AV34" i="48"/>
  <c r="AV35" i="48"/>
  <c r="AV36" i="48"/>
  <c r="AV37" i="48"/>
  <c r="AV38" i="48"/>
  <c r="AU22" i="48"/>
  <c r="AU23" i="48"/>
  <c r="AU24" i="48"/>
  <c r="AU25" i="48"/>
  <c r="AU26" i="48"/>
  <c r="AU27" i="48"/>
  <c r="AU28" i="48"/>
  <c r="AU29" i="48"/>
  <c r="AU30" i="48"/>
  <c r="AU31" i="48"/>
  <c r="AU32" i="48"/>
  <c r="AU33" i="48"/>
  <c r="AU34" i="48"/>
  <c r="AU35" i="48"/>
  <c r="AU36" i="48"/>
  <c r="AU37" i="48"/>
  <c r="AU38" i="48"/>
  <c r="AT22" i="48"/>
  <c r="AT23" i="48"/>
  <c r="AT24" i="48"/>
  <c r="AT25" i="48"/>
  <c r="AT26" i="48"/>
  <c r="AT27" i="48"/>
  <c r="AT28" i="48"/>
  <c r="AT29" i="48"/>
  <c r="AT30" i="48"/>
  <c r="AT31" i="48"/>
  <c r="AT32" i="48"/>
  <c r="AT33" i="48"/>
  <c r="AT34" i="48"/>
  <c r="AT35" i="48"/>
  <c r="AT36" i="48"/>
  <c r="AT37" i="48"/>
  <c r="AT38" i="48"/>
  <c r="BD3" i="48"/>
  <c r="BU2" i="48"/>
  <c r="BT2" i="48"/>
  <c r="BN2" i="48"/>
  <c r="BM2" i="48"/>
  <c r="BL2" i="48"/>
  <c r="BK2" i="48"/>
  <c r="BJ2" i="48"/>
  <c r="BF2" i="48"/>
  <c r="BE2" i="48"/>
  <c r="BD2" i="48"/>
  <c r="B14" i="30"/>
  <c r="BH82" i="46"/>
  <c r="BH83" i="46"/>
  <c r="BH84" i="46"/>
  <c r="BH85" i="46"/>
  <c r="BH86" i="46"/>
  <c r="BH87" i="46"/>
  <c r="BH88" i="46"/>
  <c r="BH89" i="46"/>
  <c r="BH90" i="46"/>
  <c r="BH91" i="46"/>
  <c r="BH92" i="46"/>
  <c r="BH93" i="46"/>
  <c r="BH94" i="46"/>
  <c r="BH95" i="46"/>
  <c r="BH96" i="46"/>
  <c r="BH97" i="46"/>
  <c r="BH98" i="46"/>
  <c r="BG82" i="46"/>
  <c r="BG83" i="46"/>
  <c r="BG84" i="46"/>
  <c r="BG85" i="46"/>
  <c r="BG86" i="46"/>
  <c r="BG87" i="46"/>
  <c r="BG88" i="46"/>
  <c r="BG89" i="46"/>
  <c r="BG90" i="46"/>
  <c r="BG91" i="46"/>
  <c r="BG92" i="46"/>
  <c r="BG93" i="46"/>
  <c r="BG94" i="46"/>
  <c r="BG95" i="46"/>
  <c r="BG96" i="46"/>
  <c r="BG97" i="46"/>
  <c r="BG98" i="46"/>
  <c r="BF82" i="46"/>
  <c r="BF83" i="46"/>
  <c r="BF84" i="46"/>
  <c r="BF85" i="46"/>
  <c r="BF86" i="46"/>
  <c r="BF87" i="46"/>
  <c r="BF88" i="46"/>
  <c r="BF89" i="46"/>
  <c r="BF90" i="46"/>
  <c r="BF91" i="46"/>
  <c r="BF92" i="46"/>
  <c r="BF93" i="46"/>
  <c r="BF94" i="46"/>
  <c r="BF95" i="46"/>
  <c r="BF96" i="46"/>
  <c r="BF97" i="46"/>
  <c r="BF98" i="46"/>
  <c r="BE82" i="46"/>
  <c r="BE83" i="46"/>
  <c r="BE84" i="46"/>
  <c r="BE85" i="46"/>
  <c r="BE86" i="46"/>
  <c r="BE87" i="46"/>
  <c r="BE88" i="46"/>
  <c r="BE89" i="46"/>
  <c r="BE90" i="46"/>
  <c r="BE91" i="46"/>
  <c r="BE92" i="46"/>
  <c r="BE93" i="46"/>
  <c r="BE94" i="46"/>
  <c r="BE95" i="46"/>
  <c r="BE96" i="46"/>
  <c r="BE97" i="46"/>
  <c r="BE98" i="46"/>
  <c r="BD82" i="46"/>
  <c r="BD83" i="46"/>
  <c r="BD84" i="46"/>
  <c r="BD85" i="46"/>
  <c r="BD86" i="46"/>
  <c r="BD87" i="46"/>
  <c r="BD88" i="46"/>
  <c r="BD89" i="46"/>
  <c r="BD90" i="46"/>
  <c r="BD91" i="46"/>
  <c r="BD92" i="46"/>
  <c r="BD93" i="46"/>
  <c r="BD94" i="46"/>
  <c r="BD95" i="46"/>
  <c r="BD96" i="46"/>
  <c r="BD97" i="46"/>
  <c r="BD98" i="46"/>
  <c r="BC82" i="46"/>
  <c r="BC83" i="46"/>
  <c r="BC84" i="46"/>
  <c r="BC85" i="46"/>
  <c r="BC86" i="46"/>
  <c r="BC87" i="46"/>
  <c r="BC88" i="46"/>
  <c r="BC89" i="46"/>
  <c r="BC90" i="46"/>
  <c r="BC91" i="46"/>
  <c r="BC92" i="46"/>
  <c r="BC93" i="46"/>
  <c r="BC94" i="46"/>
  <c r="BC95" i="46"/>
  <c r="BC96" i="46"/>
  <c r="BC97" i="46"/>
  <c r="BC98" i="46"/>
  <c r="AY82" i="46"/>
  <c r="AY83" i="46"/>
  <c r="AY84" i="46"/>
  <c r="AY85" i="46"/>
  <c r="AY86" i="46"/>
  <c r="AY87" i="46"/>
  <c r="AY88" i="46"/>
  <c r="AY89" i="46"/>
  <c r="AY90" i="46"/>
  <c r="AY91" i="46"/>
  <c r="AY92" i="46"/>
  <c r="AY93" i="46"/>
  <c r="AY94" i="46"/>
  <c r="AY95" i="46"/>
  <c r="AY96" i="46"/>
  <c r="AY97" i="46"/>
  <c r="AY98" i="46"/>
  <c r="AX82" i="46"/>
  <c r="AX83" i="46"/>
  <c r="AX84" i="46"/>
  <c r="AX85" i="46"/>
  <c r="AX86" i="46"/>
  <c r="AX87" i="46"/>
  <c r="AX88" i="46"/>
  <c r="AX89" i="46"/>
  <c r="AX90" i="46"/>
  <c r="AX91" i="46"/>
  <c r="AX92" i="46"/>
  <c r="AX93" i="46"/>
  <c r="AX94" i="46"/>
  <c r="AX95" i="46"/>
  <c r="AX96" i="46"/>
  <c r="AX97" i="46"/>
  <c r="AX98" i="46"/>
  <c r="AW82" i="46"/>
  <c r="AW83" i="46"/>
  <c r="AW84" i="46"/>
  <c r="AW85" i="46"/>
  <c r="AW86" i="46"/>
  <c r="AW87" i="46"/>
  <c r="AW88" i="46"/>
  <c r="AW89" i="46"/>
  <c r="AW90" i="46"/>
  <c r="AW91" i="46"/>
  <c r="AW92" i="46"/>
  <c r="AW93" i="46"/>
  <c r="AW94" i="46"/>
  <c r="AW95" i="46"/>
  <c r="AW96" i="46"/>
  <c r="AW97" i="46"/>
  <c r="AW98" i="46"/>
  <c r="AV82" i="46"/>
  <c r="AV83" i="46"/>
  <c r="AV84" i="46"/>
  <c r="AV85" i="46"/>
  <c r="AV86" i="46"/>
  <c r="AV87" i="46"/>
  <c r="AV88" i="46"/>
  <c r="AV89" i="46"/>
  <c r="AV90" i="46"/>
  <c r="AV91" i="46"/>
  <c r="AV92" i="46"/>
  <c r="AV93" i="46"/>
  <c r="AV94" i="46"/>
  <c r="AV95" i="46"/>
  <c r="AV96" i="46"/>
  <c r="AV97" i="46"/>
  <c r="AV98" i="46"/>
  <c r="AU82" i="46"/>
  <c r="AU83" i="46"/>
  <c r="AU84" i="46"/>
  <c r="AU85" i="46"/>
  <c r="AU86" i="46"/>
  <c r="AU87" i="46"/>
  <c r="AU88" i="46"/>
  <c r="AU89" i="46"/>
  <c r="AU90" i="46"/>
  <c r="AU91" i="46"/>
  <c r="AU92" i="46"/>
  <c r="AU93" i="46"/>
  <c r="AU94" i="46"/>
  <c r="AU95" i="46"/>
  <c r="AU96" i="46"/>
  <c r="AU97" i="46"/>
  <c r="AU98" i="46"/>
  <c r="AT82" i="46"/>
  <c r="AT83" i="46"/>
  <c r="AT84" i="46"/>
  <c r="AT85" i="46"/>
  <c r="AT86" i="46"/>
  <c r="AT87" i="46"/>
  <c r="AT88" i="46"/>
  <c r="AT89" i="46"/>
  <c r="AT90" i="46"/>
  <c r="AT91" i="46"/>
  <c r="AT92" i="46"/>
  <c r="AT93" i="46"/>
  <c r="AT94" i="46"/>
  <c r="AT95" i="46"/>
  <c r="AT96" i="46"/>
  <c r="AT97" i="46"/>
  <c r="AT98" i="46"/>
  <c r="BH62" i="46"/>
  <c r="BH63" i="46"/>
  <c r="BH64" i="46"/>
  <c r="BH65" i="46"/>
  <c r="BH66" i="46"/>
  <c r="BH67" i="46"/>
  <c r="BH68" i="46"/>
  <c r="BH69" i="46"/>
  <c r="BH70" i="46"/>
  <c r="BH71" i="46"/>
  <c r="BH72" i="46"/>
  <c r="BH73" i="46"/>
  <c r="BH74" i="46"/>
  <c r="BH75" i="46"/>
  <c r="BH76" i="46"/>
  <c r="BH77" i="46"/>
  <c r="BH78" i="46"/>
  <c r="BG62" i="46"/>
  <c r="BG63" i="46"/>
  <c r="BG64" i="46"/>
  <c r="BG65" i="46"/>
  <c r="BG66" i="46"/>
  <c r="BG67" i="46"/>
  <c r="BG68" i="46"/>
  <c r="BG69" i="46"/>
  <c r="BG70" i="46"/>
  <c r="BG71" i="46"/>
  <c r="BG72" i="46"/>
  <c r="BG73" i="46"/>
  <c r="BG74" i="46"/>
  <c r="BG75" i="46"/>
  <c r="BG76" i="46"/>
  <c r="BG77" i="46"/>
  <c r="BG78" i="46"/>
  <c r="BF62" i="46"/>
  <c r="BF63" i="46"/>
  <c r="BF64" i="46"/>
  <c r="BF65" i="46"/>
  <c r="BF66" i="46"/>
  <c r="BF67" i="46"/>
  <c r="BF68" i="46"/>
  <c r="BF69" i="46"/>
  <c r="BF70" i="46"/>
  <c r="BF71" i="46"/>
  <c r="BF72" i="46"/>
  <c r="BF73" i="46"/>
  <c r="BF74" i="46"/>
  <c r="BF75" i="46"/>
  <c r="BF76" i="46"/>
  <c r="BF77" i="46"/>
  <c r="BF78" i="46"/>
  <c r="BE62" i="46"/>
  <c r="BE63" i="46"/>
  <c r="BE64" i="46"/>
  <c r="BE65" i="46"/>
  <c r="BE66" i="46"/>
  <c r="BE67" i="46"/>
  <c r="BE68" i="46"/>
  <c r="BE69" i="46"/>
  <c r="BE70" i="46"/>
  <c r="BE71" i="46"/>
  <c r="BE72" i="46"/>
  <c r="BE73" i="46"/>
  <c r="BE74" i="46"/>
  <c r="BE75" i="46"/>
  <c r="BE76" i="46"/>
  <c r="BE77" i="46"/>
  <c r="BE78" i="46"/>
  <c r="BD62" i="46"/>
  <c r="BD63" i="46"/>
  <c r="BD64" i="46"/>
  <c r="BD65" i="46"/>
  <c r="BD66" i="46"/>
  <c r="BD67" i="46"/>
  <c r="BD68" i="46"/>
  <c r="BD69" i="46"/>
  <c r="BD70" i="46"/>
  <c r="BD71" i="46"/>
  <c r="BD72" i="46"/>
  <c r="BD73" i="46"/>
  <c r="BD74" i="46"/>
  <c r="BD75" i="46"/>
  <c r="BD76" i="46"/>
  <c r="BD77" i="46"/>
  <c r="BD78" i="46"/>
  <c r="BC62" i="46"/>
  <c r="BC63" i="46"/>
  <c r="BC64" i="46"/>
  <c r="BC65" i="46"/>
  <c r="BC66" i="46"/>
  <c r="BC67" i="46"/>
  <c r="BC68" i="46"/>
  <c r="BC69" i="46"/>
  <c r="BC70" i="46"/>
  <c r="BC71" i="46"/>
  <c r="BC72" i="46"/>
  <c r="BC73" i="46"/>
  <c r="BC74" i="46"/>
  <c r="BC75" i="46"/>
  <c r="BC76" i="46"/>
  <c r="BC77" i="46"/>
  <c r="BC78" i="46"/>
  <c r="AY62" i="46"/>
  <c r="AY63" i="46"/>
  <c r="AY64" i="46"/>
  <c r="AY65" i="46"/>
  <c r="AY66" i="46"/>
  <c r="AY67" i="46"/>
  <c r="AY68" i="46"/>
  <c r="AY69" i="46"/>
  <c r="AY70" i="46"/>
  <c r="AY71" i="46"/>
  <c r="AY72" i="46"/>
  <c r="AY73" i="46"/>
  <c r="AY74" i="46"/>
  <c r="AY75" i="46"/>
  <c r="AY76" i="46"/>
  <c r="AY77" i="46"/>
  <c r="AY78" i="46"/>
  <c r="AX62" i="46"/>
  <c r="AX63" i="46"/>
  <c r="AX64" i="46"/>
  <c r="AX65" i="46"/>
  <c r="AX66" i="46"/>
  <c r="AX67" i="46"/>
  <c r="AX68" i="46"/>
  <c r="AX69" i="46"/>
  <c r="AX70" i="46"/>
  <c r="AX71" i="46"/>
  <c r="AX72" i="46"/>
  <c r="AX73" i="46"/>
  <c r="AX74" i="46"/>
  <c r="AX75" i="46"/>
  <c r="AX76" i="46"/>
  <c r="AX77" i="46"/>
  <c r="AX78" i="46"/>
  <c r="AW62" i="46"/>
  <c r="AW63" i="46"/>
  <c r="AW64" i="46"/>
  <c r="AW65" i="46"/>
  <c r="AW66" i="46"/>
  <c r="AW67" i="46"/>
  <c r="AW68" i="46"/>
  <c r="AW69" i="46"/>
  <c r="AW70" i="46"/>
  <c r="AW71" i="46"/>
  <c r="AW72" i="46"/>
  <c r="AW73" i="46"/>
  <c r="AW74" i="46"/>
  <c r="AW75" i="46"/>
  <c r="AW76" i="46"/>
  <c r="AW77" i="46"/>
  <c r="AW78" i="46"/>
  <c r="AV62" i="46"/>
  <c r="AV63" i="46"/>
  <c r="AV64" i="46"/>
  <c r="AV65" i="46"/>
  <c r="AV66" i="46"/>
  <c r="AV67" i="46"/>
  <c r="AV68" i="46"/>
  <c r="AV69" i="46"/>
  <c r="AV70" i="46"/>
  <c r="AV71" i="46"/>
  <c r="AV72" i="46"/>
  <c r="AV73" i="46"/>
  <c r="AV74" i="46"/>
  <c r="AV75" i="46"/>
  <c r="AV76" i="46"/>
  <c r="AV77" i="46"/>
  <c r="AV78" i="46"/>
  <c r="AU62" i="46"/>
  <c r="AU63" i="46"/>
  <c r="AU64" i="46"/>
  <c r="AU65" i="46"/>
  <c r="AU66" i="46"/>
  <c r="AU67" i="46"/>
  <c r="AU68" i="46"/>
  <c r="AU69" i="46"/>
  <c r="AU70" i="46"/>
  <c r="AU71" i="46"/>
  <c r="AU72" i="46"/>
  <c r="AU73" i="46"/>
  <c r="AU74" i="46"/>
  <c r="AU75" i="46"/>
  <c r="AU76" i="46"/>
  <c r="AU77" i="46"/>
  <c r="AU78" i="46"/>
  <c r="AT62" i="46"/>
  <c r="AT63" i="46"/>
  <c r="AT64" i="46"/>
  <c r="AT65" i="46"/>
  <c r="AT66" i="46"/>
  <c r="AT67" i="46"/>
  <c r="AT68" i="46"/>
  <c r="AT69" i="46"/>
  <c r="AT70" i="46"/>
  <c r="AT71" i="46"/>
  <c r="AT72" i="46"/>
  <c r="AT73" i="46"/>
  <c r="AT74" i="46"/>
  <c r="AT75" i="46"/>
  <c r="AT76" i="46"/>
  <c r="AT77" i="46"/>
  <c r="AT78" i="46"/>
  <c r="BH42" i="46"/>
  <c r="BH43" i="46"/>
  <c r="BH44" i="46"/>
  <c r="BH45" i="46"/>
  <c r="BH46" i="46"/>
  <c r="BH47" i="46"/>
  <c r="BH48" i="46"/>
  <c r="BH49" i="46"/>
  <c r="BH50" i="46"/>
  <c r="BH51" i="46"/>
  <c r="BH52" i="46"/>
  <c r="BH53" i="46"/>
  <c r="BH54" i="46"/>
  <c r="BH55" i="46"/>
  <c r="BH56" i="46"/>
  <c r="BH57" i="46"/>
  <c r="BH58" i="46"/>
  <c r="BG42" i="46"/>
  <c r="BG43" i="46"/>
  <c r="BG44" i="46"/>
  <c r="BG45" i="46"/>
  <c r="BG46" i="46"/>
  <c r="BG47" i="46"/>
  <c r="BG48" i="46"/>
  <c r="BG49" i="46"/>
  <c r="BG50" i="46"/>
  <c r="BG51" i="46"/>
  <c r="BG52" i="46"/>
  <c r="BG53" i="46"/>
  <c r="BG54" i="46"/>
  <c r="BG55" i="46"/>
  <c r="BG56" i="46"/>
  <c r="BG57" i="46"/>
  <c r="BG58" i="46"/>
  <c r="BF42" i="46"/>
  <c r="BF43" i="46"/>
  <c r="BF44" i="46"/>
  <c r="BF45" i="46"/>
  <c r="BF46" i="46"/>
  <c r="BF47" i="46"/>
  <c r="BF48" i="46"/>
  <c r="BF49" i="46"/>
  <c r="BF50" i="46"/>
  <c r="BF51" i="46"/>
  <c r="BF52" i="46"/>
  <c r="BF53" i="46"/>
  <c r="BF54" i="46"/>
  <c r="BF55" i="46"/>
  <c r="BF56" i="46"/>
  <c r="BF57" i="46"/>
  <c r="BF58" i="46"/>
  <c r="BE42" i="46"/>
  <c r="BE43" i="46"/>
  <c r="BE44" i="46"/>
  <c r="BE45" i="46"/>
  <c r="BE46" i="46"/>
  <c r="BE47" i="46"/>
  <c r="BE48" i="46"/>
  <c r="BE49" i="46"/>
  <c r="BE50" i="46"/>
  <c r="BE51" i="46"/>
  <c r="BE52" i="46"/>
  <c r="BE53" i="46"/>
  <c r="BE54" i="46"/>
  <c r="BE55" i="46"/>
  <c r="BE56" i="46"/>
  <c r="BE57" i="46"/>
  <c r="BE58" i="46"/>
  <c r="BD42" i="46"/>
  <c r="BD43" i="46"/>
  <c r="BD44" i="46"/>
  <c r="BD45" i="46"/>
  <c r="BD46" i="46"/>
  <c r="BD47" i="46"/>
  <c r="BD48" i="46"/>
  <c r="BD49" i="46"/>
  <c r="BD50" i="46"/>
  <c r="BD51" i="46"/>
  <c r="BD52" i="46"/>
  <c r="BD53" i="46"/>
  <c r="BD54" i="46"/>
  <c r="BD55" i="46"/>
  <c r="BD56" i="46"/>
  <c r="BD57" i="46"/>
  <c r="BD58" i="46"/>
  <c r="BC42" i="46"/>
  <c r="BC43" i="46"/>
  <c r="BC44" i="46"/>
  <c r="BC45" i="46"/>
  <c r="BC46" i="46"/>
  <c r="BC47" i="46"/>
  <c r="BC48" i="46"/>
  <c r="BC49" i="46"/>
  <c r="BC50" i="46"/>
  <c r="BC51" i="46"/>
  <c r="BC52" i="46"/>
  <c r="BC53" i="46"/>
  <c r="BC54" i="46"/>
  <c r="BC55" i="46"/>
  <c r="BC56" i="46"/>
  <c r="BC57" i="46"/>
  <c r="BC58" i="46"/>
  <c r="AY42" i="46"/>
  <c r="AY43" i="46"/>
  <c r="AY44" i="46"/>
  <c r="AY45" i="46"/>
  <c r="AY46" i="46"/>
  <c r="AY47" i="46"/>
  <c r="AY48" i="46"/>
  <c r="AY49" i="46"/>
  <c r="AY50" i="46"/>
  <c r="AY51" i="46"/>
  <c r="AY52" i="46"/>
  <c r="AY53" i="46"/>
  <c r="AY54" i="46"/>
  <c r="AY55" i="46"/>
  <c r="AY56" i="46"/>
  <c r="AY57" i="46"/>
  <c r="AY58" i="46"/>
  <c r="AX42" i="46"/>
  <c r="AX43" i="46"/>
  <c r="AX44" i="46"/>
  <c r="AX45" i="46"/>
  <c r="AX46" i="46"/>
  <c r="AX47" i="46"/>
  <c r="AX48" i="46"/>
  <c r="AX49" i="46"/>
  <c r="AX50" i="46"/>
  <c r="AX51" i="46"/>
  <c r="AX52" i="46"/>
  <c r="AX53" i="46"/>
  <c r="AX54" i="46"/>
  <c r="AX55" i="46"/>
  <c r="AX56" i="46"/>
  <c r="AX57" i="46"/>
  <c r="AX58" i="46"/>
  <c r="AW42" i="46"/>
  <c r="AW43" i="46"/>
  <c r="AW44" i="46"/>
  <c r="AW45" i="46"/>
  <c r="AW46" i="46"/>
  <c r="AW47" i="46"/>
  <c r="AW48" i="46"/>
  <c r="AW49" i="46"/>
  <c r="AW50" i="46"/>
  <c r="AW51" i="46"/>
  <c r="AW52" i="46"/>
  <c r="AW53" i="46"/>
  <c r="AW54" i="46"/>
  <c r="AW55" i="46"/>
  <c r="AW56" i="46"/>
  <c r="AW57" i="46"/>
  <c r="AW58" i="46"/>
  <c r="AV42" i="46"/>
  <c r="AV43" i="46"/>
  <c r="AV44" i="46"/>
  <c r="AV45" i="46"/>
  <c r="AV46" i="46"/>
  <c r="AV47" i="46"/>
  <c r="AV48" i="46"/>
  <c r="AV49" i="46"/>
  <c r="AV50" i="46"/>
  <c r="AV51" i="46"/>
  <c r="AV52" i="46"/>
  <c r="AV53" i="46"/>
  <c r="AV54" i="46"/>
  <c r="AV55" i="46"/>
  <c r="AV56" i="46"/>
  <c r="AV57" i="46"/>
  <c r="AV58" i="46"/>
  <c r="AU42" i="46"/>
  <c r="AU43" i="46"/>
  <c r="AU44" i="46"/>
  <c r="AU45" i="46"/>
  <c r="AU46" i="46"/>
  <c r="AU47" i="46"/>
  <c r="AU48" i="46"/>
  <c r="AU49" i="46"/>
  <c r="AU50" i="46"/>
  <c r="AU51" i="46"/>
  <c r="AU52" i="46"/>
  <c r="AU53" i="46"/>
  <c r="AU54" i="46"/>
  <c r="AU55" i="46"/>
  <c r="AU56" i="46"/>
  <c r="AU57" i="46"/>
  <c r="AU58" i="46"/>
  <c r="AT42" i="46"/>
  <c r="AT43" i="46"/>
  <c r="AT44" i="46"/>
  <c r="AT45" i="46"/>
  <c r="AT46" i="46"/>
  <c r="AT47" i="46"/>
  <c r="AT48" i="46"/>
  <c r="AT49" i="46"/>
  <c r="AT50" i="46"/>
  <c r="AT51" i="46"/>
  <c r="AT52" i="46"/>
  <c r="AT53" i="46"/>
  <c r="AT54" i="46"/>
  <c r="AT55" i="46"/>
  <c r="AT56" i="46"/>
  <c r="AT57" i="46"/>
  <c r="AT58" i="46"/>
  <c r="BH22" i="46"/>
  <c r="BH23" i="46"/>
  <c r="BH24" i="46"/>
  <c r="BH25" i="46"/>
  <c r="BH26" i="46"/>
  <c r="BH27" i="46"/>
  <c r="BH28" i="46"/>
  <c r="BH29" i="46"/>
  <c r="BH30" i="46"/>
  <c r="BH31" i="46"/>
  <c r="BH32" i="46"/>
  <c r="BH33" i="46"/>
  <c r="BH34" i="46"/>
  <c r="BH35" i="46"/>
  <c r="BH36" i="46"/>
  <c r="BH37" i="46"/>
  <c r="BH38" i="46"/>
  <c r="BG22" i="46"/>
  <c r="BG23" i="46"/>
  <c r="BG24" i="46"/>
  <c r="BG25" i="46"/>
  <c r="BG26" i="46"/>
  <c r="BG27" i="46"/>
  <c r="BG28" i="46"/>
  <c r="BG29" i="46"/>
  <c r="BG30" i="46"/>
  <c r="BG31" i="46"/>
  <c r="BG32" i="46"/>
  <c r="BG33" i="46"/>
  <c r="BG34" i="46"/>
  <c r="BG35" i="46"/>
  <c r="BG36" i="46"/>
  <c r="BG37" i="46"/>
  <c r="BG38" i="46"/>
  <c r="BF22" i="46"/>
  <c r="BF23" i="46"/>
  <c r="BF24" i="46"/>
  <c r="BF25" i="46"/>
  <c r="BF26" i="46"/>
  <c r="BF27" i="46"/>
  <c r="BF28" i="46"/>
  <c r="BF29" i="46"/>
  <c r="BF30" i="46"/>
  <c r="BF31" i="46"/>
  <c r="BF32" i="46"/>
  <c r="BF33" i="46"/>
  <c r="BF34" i="46"/>
  <c r="BF35" i="46"/>
  <c r="BF36" i="46"/>
  <c r="BF37" i="46"/>
  <c r="BF38" i="46"/>
  <c r="BE22" i="46"/>
  <c r="BE23" i="46"/>
  <c r="BE24" i="46"/>
  <c r="BE25" i="46"/>
  <c r="BE26" i="46"/>
  <c r="BE27" i="46"/>
  <c r="BE28" i="46"/>
  <c r="BE29" i="46"/>
  <c r="BE30" i="46"/>
  <c r="BE31" i="46"/>
  <c r="BE32" i="46"/>
  <c r="BE33" i="46"/>
  <c r="BE34" i="46"/>
  <c r="BE35" i="46"/>
  <c r="BE36" i="46"/>
  <c r="BE37" i="46"/>
  <c r="BE38" i="46"/>
  <c r="BD22" i="46"/>
  <c r="BD23" i="46"/>
  <c r="BD24" i="46"/>
  <c r="BD25" i="46"/>
  <c r="BD26" i="46"/>
  <c r="BD27" i="46"/>
  <c r="BD28" i="46"/>
  <c r="BD29" i="46"/>
  <c r="BD30" i="46"/>
  <c r="BD31" i="46"/>
  <c r="BD32" i="46"/>
  <c r="BD33" i="46"/>
  <c r="BD34" i="46"/>
  <c r="BD35" i="46"/>
  <c r="BD36" i="46"/>
  <c r="BD37" i="46"/>
  <c r="BD38" i="46"/>
  <c r="BC22" i="46"/>
  <c r="BC23" i="46"/>
  <c r="BC24" i="46"/>
  <c r="BC25" i="46"/>
  <c r="BC26" i="46"/>
  <c r="BC27" i="46"/>
  <c r="BC28" i="46"/>
  <c r="BC29" i="46"/>
  <c r="BC30" i="46"/>
  <c r="BC31" i="46"/>
  <c r="BC32" i="46"/>
  <c r="BC33" i="46"/>
  <c r="BC34" i="46"/>
  <c r="BC35" i="46"/>
  <c r="BC36" i="46"/>
  <c r="BC37" i="46"/>
  <c r="BC38" i="46"/>
  <c r="AY22" i="46"/>
  <c r="AY23" i="46"/>
  <c r="AY24" i="46"/>
  <c r="AY25" i="46"/>
  <c r="AY26" i="46"/>
  <c r="AY27" i="46"/>
  <c r="AY28" i="46"/>
  <c r="AY29" i="46"/>
  <c r="AY30" i="46"/>
  <c r="AY31" i="46"/>
  <c r="AY32" i="46"/>
  <c r="AY33" i="46"/>
  <c r="AY34" i="46"/>
  <c r="AY35" i="46"/>
  <c r="AY36" i="46"/>
  <c r="AY37" i="46"/>
  <c r="AY38" i="46"/>
  <c r="AX22" i="46"/>
  <c r="AX23" i="46"/>
  <c r="AX24" i="46"/>
  <c r="AX25" i="46"/>
  <c r="AX26" i="46"/>
  <c r="AX27" i="46"/>
  <c r="AX28" i="46"/>
  <c r="AX29" i="46"/>
  <c r="AX30" i="46"/>
  <c r="AX31" i="46"/>
  <c r="AX32" i="46"/>
  <c r="AX33" i="46"/>
  <c r="AX34" i="46"/>
  <c r="AX35" i="46"/>
  <c r="AX36" i="46"/>
  <c r="AX37" i="46"/>
  <c r="AX38" i="46"/>
  <c r="AW22" i="46"/>
  <c r="AW23" i="46"/>
  <c r="AW24" i="46"/>
  <c r="AW25" i="46"/>
  <c r="AW26" i="46"/>
  <c r="AW27" i="46"/>
  <c r="AW28" i="46"/>
  <c r="AW29" i="46"/>
  <c r="AW30" i="46"/>
  <c r="AW31" i="46"/>
  <c r="AW32" i="46"/>
  <c r="AW33" i="46"/>
  <c r="AW34" i="46"/>
  <c r="AW35" i="46"/>
  <c r="AW36" i="46"/>
  <c r="AW37" i="46"/>
  <c r="AW38" i="46"/>
  <c r="AV22" i="46"/>
  <c r="AV23" i="46"/>
  <c r="AV24" i="46"/>
  <c r="AV25" i="46"/>
  <c r="AV26" i="46"/>
  <c r="AV27" i="46"/>
  <c r="AV28" i="46"/>
  <c r="AV29" i="46"/>
  <c r="AV30" i="46"/>
  <c r="AV31" i="46"/>
  <c r="AV32" i="46"/>
  <c r="AV33" i="46"/>
  <c r="AV34" i="46"/>
  <c r="AV35" i="46"/>
  <c r="AV36" i="46"/>
  <c r="AV37" i="46"/>
  <c r="AV38" i="46"/>
  <c r="AU22" i="46"/>
  <c r="AU23" i="46"/>
  <c r="AU24" i="46"/>
  <c r="AU25" i="46"/>
  <c r="AU26" i="46"/>
  <c r="AU27" i="46"/>
  <c r="AU28" i="46"/>
  <c r="AU29" i="46"/>
  <c r="AU30" i="46"/>
  <c r="AU31" i="46"/>
  <c r="AU32" i="46"/>
  <c r="AU33" i="46"/>
  <c r="AU34" i="46"/>
  <c r="AU35" i="46"/>
  <c r="AU36" i="46"/>
  <c r="AU37" i="46"/>
  <c r="AU38" i="46"/>
  <c r="AT22" i="46"/>
  <c r="AT23" i="46"/>
  <c r="AT24" i="46"/>
  <c r="AT25" i="46"/>
  <c r="AT26" i="46"/>
  <c r="AT27" i="46"/>
  <c r="AT28" i="46"/>
  <c r="AT29" i="46"/>
  <c r="AT30" i="46"/>
  <c r="AT31" i="46"/>
  <c r="AT32" i="46"/>
  <c r="AT33" i="46"/>
  <c r="AT34" i="46"/>
  <c r="AT35" i="46"/>
  <c r="AT36" i="46"/>
  <c r="AT37" i="46"/>
  <c r="AT38" i="46"/>
  <c r="BD3" i="46"/>
  <c r="AN5" i="46" s="1" a="1"/>
  <c r="AN5" i="46" s="1"/>
  <c r="AW13" i="46" s="1"/>
  <c r="BU2" i="46"/>
  <c r="BT2" i="46"/>
  <c r="BN2" i="46"/>
  <c r="BM2" i="46"/>
  <c r="BL2" i="46"/>
  <c r="BK2" i="46"/>
  <c r="BJ2" i="46"/>
  <c r="BF2" i="46"/>
  <c r="BE2" i="46"/>
  <c r="BD2" i="46"/>
  <c r="BH98" i="30"/>
  <c r="BG98" i="30"/>
  <c r="BF98" i="30"/>
  <c r="BE98" i="30"/>
  <c r="BD98" i="30"/>
  <c r="BC98" i="30"/>
  <c r="AY98" i="30"/>
  <c r="AX98" i="30"/>
  <c r="AW98" i="30"/>
  <c r="AV98" i="30"/>
  <c r="AU98" i="30"/>
  <c r="AT98" i="30"/>
  <c r="BH97" i="30"/>
  <c r="BG97" i="30"/>
  <c r="BF97" i="30"/>
  <c r="BE97" i="30"/>
  <c r="BD97" i="30"/>
  <c r="BC97" i="30"/>
  <c r="AY97" i="30"/>
  <c r="AX97" i="30"/>
  <c r="AW97" i="30"/>
  <c r="AV97" i="30"/>
  <c r="AU97" i="30"/>
  <c r="AT97" i="30"/>
  <c r="BH96" i="30"/>
  <c r="BG96" i="30"/>
  <c r="BF96" i="30"/>
  <c r="BE96" i="30"/>
  <c r="BD96" i="30"/>
  <c r="BC96" i="30"/>
  <c r="AY96" i="30"/>
  <c r="AX96" i="30"/>
  <c r="AW96" i="30"/>
  <c r="AV96" i="30"/>
  <c r="AU96" i="30"/>
  <c r="AT96" i="30"/>
  <c r="BH95" i="30"/>
  <c r="BG95" i="30"/>
  <c r="BF95" i="30"/>
  <c r="BE95" i="30"/>
  <c r="BD95" i="30"/>
  <c r="BC95" i="30"/>
  <c r="AY95" i="30"/>
  <c r="AX95" i="30"/>
  <c r="AW95" i="30"/>
  <c r="AV95" i="30"/>
  <c r="AU95" i="30"/>
  <c r="AT95" i="30"/>
  <c r="BH94" i="30"/>
  <c r="BG94" i="30"/>
  <c r="BF94" i="30"/>
  <c r="BE94" i="30"/>
  <c r="BD94" i="30"/>
  <c r="BC94" i="30"/>
  <c r="AY94" i="30"/>
  <c r="AX94" i="30"/>
  <c r="AW94" i="30"/>
  <c r="AV94" i="30"/>
  <c r="AU94" i="30"/>
  <c r="AT94" i="30"/>
  <c r="BH93" i="30"/>
  <c r="BG93" i="30"/>
  <c r="BF93" i="30"/>
  <c r="BE93" i="30"/>
  <c r="BD93" i="30"/>
  <c r="BC93" i="30"/>
  <c r="AY93" i="30"/>
  <c r="AX93" i="30"/>
  <c r="AW93" i="30"/>
  <c r="AV93" i="30"/>
  <c r="AU93" i="30"/>
  <c r="AT93" i="30"/>
  <c r="BH92" i="30"/>
  <c r="BG92" i="30"/>
  <c r="BF92" i="30"/>
  <c r="BE92" i="30"/>
  <c r="BD92" i="30"/>
  <c r="BC92" i="30"/>
  <c r="AY92" i="30"/>
  <c r="AX92" i="30"/>
  <c r="AW92" i="30"/>
  <c r="AV92" i="30"/>
  <c r="AU92" i="30"/>
  <c r="AT92" i="30"/>
  <c r="BH91" i="30"/>
  <c r="BG91" i="30"/>
  <c r="BF91" i="30"/>
  <c r="BE91" i="30"/>
  <c r="BD91" i="30"/>
  <c r="BC91" i="30"/>
  <c r="AY91" i="30"/>
  <c r="AX91" i="30"/>
  <c r="AW91" i="30"/>
  <c r="AV91" i="30"/>
  <c r="AU91" i="30"/>
  <c r="AT91" i="30"/>
  <c r="BH90" i="30"/>
  <c r="BG90" i="30"/>
  <c r="BF90" i="30"/>
  <c r="BE90" i="30"/>
  <c r="BD90" i="30"/>
  <c r="BC90" i="30"/>
  <c r="AY90" i="30"/>
  <c r="AX90" i="30"/>
  <c r="AW90" i="30"/>
  <c r="AV90" i="30"/>
  <c r="AU90" i="30"/>
  <c r="AT90" i="30"/>
  <c r="BH89" i="30"/>
  <c r="BG89" i="30"/>
  <c r="BF89" i="30"/>
  <c r="BE89" i="30"/>
  <c r="BD89" i="30"/>
  <c r="BC89" i="30"/>
  <c r="AY89" i="30"/>
  <c r="AX89" i="30"/>
  <c r="AW89" i="30"/>
  <c r="AV89" i="30"/>
  <c r="AU89" i="30"/>
  <c r="AT89" i="30"/>
  <c r="BH88" i="30"/>
  <c r="BG88" i="30"/>
  <c r="BF88" i="30"/>
  <c r="BE88" i="30"/>
  <c r="BD88" i="30"/>
  <c r="BC88" i="30"/>
  <c r="AY88" i="30"/>
  <c r="AX88" i="30"/>
  <c r="AW88" i="30"/>
  <c r="AV88" i="30"/>
  <c r="AU88" i="30"/>
  <c r="AT88" i="30"/>
  <c r="BH87" i="30"/>
  <c r="BG87" i="30"/>
  <c r="BF87" i="30"/>
  <c r="BE87" i="30"/>
  <c r="BD87" i="30"/>
  <c r="BC87" i="30"/>
  <c r="AY87" i="30"/>
  <c r="AX87" i="30"/>
  <c r="AW87" i="30"/>
  <c r="AV87" i="30"/>
  <c r="AU87" i="30"/>
  <c r="AT87" i="30"/>
  <c r="BH86" i="30"/>
  <c r="BG86" i="30"/>
  <c r="BF86" i="30"/>
  <c r="BE86" i="30"/>
  <c r="BD86" i="30"/>
  <c r="BC86" i="30"/>
  <c r="AY86" i="30"/>
  <c r="AX86" i="30"/>
  <c r="AW86" i="30"/>
  <c r="AV86" i="30"/>
  <c r="AU86" i="30"/>
  <c r="AT86" i="30"/>
  <c r="BH85" i="30"/>
  <c r="BG85" i="30"/>
  <c r="BF85" i="30"/>
  <c r="BE85" i="30"/>
  <c r="BD85" i="30"/>
  <c r="BC85" i="30"/>
  <c r="AY85" i="30"/>
  <c r="AX85" i="30"/>
  <c r="AW85" i="30"/>
  <c r="AV85" i="30"/>
  <c r="AU85" i="30"/>
  <c r="AT85" i="30"/>
  <c r="BH84" i="30"/>
  <c r="BG84" i="30"/>
  <c r="BF84" i="30"/>
  <c r="BE84" i="30"/>
  <c r="BD84" i="30"/>
  <c r="BC84" i="30"/>
  <c r="AY84" i="30"/>
  <c r="AX84" i="30"/>
  <c r="AW84" i="30"/>
  <c r="AV84" i="30"/>
  <c r="AU84" i="30"/>
  <c r="AT84" i="30"/>
  <c r="BH83" i="30"/>
  <c r="BG83" i="30"/>
  <c r="BF83" i="30"/>
  <c r="BE83" i="30"/>
  <c r="BD83" i="30"/>
  <c r="BC83" i="30"/>
  <c r="AY83" i="30"/>
  <c r="AX83" i="30"/>
  <c r="AW83" i="30"/>
  <c r="AV83" i="30"/>
  <c r="AU83" i="30"/>
  <c r="AT83" i="30"/>
  <c r="BH82" i="30"/>
  <c r="BG82" i="30"/>
  <c r="BF82" i="30"/>
  <c r="BE82" i="30"/>
  <c r="BD82" i="30"/>
  <c r="BC82" i="30"/>
  <c r="AY82" i="30"/>
  <c r="AX82" i="30"/>
  <c r="AW82" i="30"/>
  <c r="AV82" i="30"/>
  <c r="AU82" i="30"/>
  <c r="AT82" i="30"/>
  <c r="BH78" i="30"/>
  <c r="BG78" i="30"/>
  <c r="BF78" i="30"/>
  <c r="BE78" i="30"/>
  <c r="BD78" i="30"/>
  <c r="BC78" i="30"/>
  <c r="AY78" i="30"/>
  <c r="AX78" i="30"/>
  <c r="AW78" i="30"/>
  <c r="AV78" i="30"/>
  <c r="AU78" i="30"/>
  <c r="AT78" i="30"/>
  <c r="BH77" i="30"/>
  <c r="BG77" i="30"/>
  <c r="BF77" i="30"/>
  <c r="BE77" i="30"/>
  <c r="BD77" i="30"/>
  <c r="BC77" i="30"/>
  <c r="AY77" i="30"/>
  <c r="AX77" i="30"/>
  <c r="AW77" i="30"/>
  <c r="AV77" i="30"/>
  <c r="AU77" i="30"/>
  <c r="AT77" i="30"/>
  <c r="BH76" i="30"/>
  <c r="BG76" i="30"/>
  <c r="BF76" i="30"/>
  <c r="BE76" i="30"/>
  <c r="BD76" i="30"/>
  <c r="BC76" i="30"/>
  <c r="AY76" i="30"/>
  <c r="AX76" i="30"/>
  <c r="AW76" i="30"/>
  <c r="AV76" i="30"/>
  <c r="AU76" i="30"/>
  <c r="AT76" i="30"/>
  <c r="BH75" i="30"/>
  <c r="BG75" i="30"/>
  <c r="BF75" i="30"/>
  <c r="BE75" i="30"/>
  <c r="BD75" i="30"/>
  <c r="BC75" i="30"/>
  <c r="AY75" i="30"/>
  <c r="AX75" i="30"/>
  <c r="AW75" i="30"/>
  <c r="AV75" i="30"/>
  <c r="AU75" i="30"/>
  <c r="AT75" i="30"/>
  <c r="BH74" i="30"/>
  <c r="BG74" i="30"/>
  <c r="BF74" i="30"/>
  <c r="BE74" i="30"/>
  <c r="BD74" i="30"/>
  <c r="BC74" i="30"/>
  <c r="AY74" i="30"/>
  <c r="AX74" i="30"/>
  <c r="AW74" i="30"/>
  <c r="AV74" i="30"/>
  <c r="AU74" i="30"/>
  <c r="AT74" i="30"/>
  <c r="BH73" i="30"/>
  <c r="BG73" i="30"/>
  <c r="BF73" i="30"/>
  <c r="BE73" i="30"/>
  <c r="BD73" i="30"/>
  <c r="BC73" i="30"/>
  <c r="AY73" i="30"/>
  <c r="AX73" i="30"/>
  <c r="AW73" i="30"/>
  <c r="AV73" i="30"/>
  <c r="AU73" i="30"/>
  <c r="AT73" i="30"/>
  <c r="BH72" i="30"/>
  <c r="BG72" i="30"/>
  <c r="BF72" i="30"/>
  <c r="BE72" i="30"/>
  <c r="BD72" i="30"/>
  <c r="BC72" i="30"/>
  <c r="AY72" i="30"/>
  <c r="AX72" i="30"/>
  <c r="AW72" i="30"/>
  <c r="AV72" i="30"/>
  <c r="AU72" i="30"/>
  <c r="AT72" i="30"/>
  <c r="BH71" i="30"/>
  <c r="BG71" i="30"/>
  <c r="BF71" i="30"/>
  <c r="BE71" i="30"/>
  <c r="BD71" i="30"/>
  <c r="BC71" i="30"/>
  <c r="AY71" i="30"/>
  <c r="AX71" i="30"/>
  <c r="AW71" i="30"/>
  <c r="AV71" i="30"/>
  <c r="AU71" i="30"/>
  <c r="AT71" i="30"/>
  <c r="BH70" i="30"/>
  <c r="BG70" i="30"/>
  <c r="BF70" i="30"/>
  <c r="BE70" i="30"/>
  <c r="BD70" i="30"/>
  <c r="BC70" i="30"/>
  <c r="AY70" i="30"/>
  <c r="AX70" i="30"/>
  <c r="AW70" i="30"/>
  <c r="AV70" i="30"/>
  <c r="AU70" i="30"/>
  <c r="AT70" i="30"/>
  <c r="BH69" i="30"/>
  <c r="BG69" i="30"/>
  <c r="BF69" i="30"/>
  <c r="BE69" i="30"/>
  <c r="BD69" i="30"/>
  <c r="BC69" i="30"/>
  <c r="AY69" i="30"/>
  <c r="AX69" i="30"/>
  <c r="AW69" i="30"/>
  <c r="AV69" i="30"/>
  <c r="AU69" i="30"/>
  <c r="AT69" i="30"/>
  <c r="BH68" i="30"/>
  <c r="BG68" i="30"/>
  <c r="BF68" i="30"/>
  <c r="BE68" i="30"/>
  <c r="BD68" i="30"/>
  <c r="BC68" i="30"/>
  <c r="AY68" i="30"/>
  <c r="AX68" i="30"/>
  <c r="AW68" i="30"/>
  <c r="AV68" i="30"/>
  <c r="AU68" i="30"/>
  <c r="AT68" i="30"/>
  <c r="BH67" i="30"/>
  <c r="BG67" i="30"/>
  <c r="BF67" i="30"/>
  <c r="BE67" i="30"/>
  <c r="BD67" i="30"/>
  <c r="BC67" i="30"/>
  <c r="AY67" i="30"/>
  <c r="AX67" i="30"/>
  <c r="AW67" i="30"/>
  <c r="AV67" i="30"/>
  <c r="AU67" i="30"/>
  <c r="AT67" i="30"/>
  <c r="BH66" i="30"/>
  <c r="BG66" i="30"/>
  <c r="BF66" i="30"/>
  <c r="BE66" i="30"/>
  <c r="BD66" i="30"/>
  <c r="BC66" i="30"/>
  <c r="AY66" i="30"/>
  <c r="AX66" i="30"/>
  <c r="AW66" i="30"/>
  <c r="AV66" i="30"/>
  <c r="AU66" i="30"/>
  <c r="AT66" i="30"/>
  <c r="BH65" i="30"/>
  <c r="BG65" i="30"/>
  <c r="BF65" i="30"/>
  <c r="BE65" i="30"/>
  <c r="BD65" i="30"/>
  <c r="BC65" i="30"/>
  <c r="AY65" i="30"/>
  <c r="AX65" i="30"/>
  <c r="AW65" i="30"/>
  <c r="AV65" i="30"/>
  <c r="AU65" i="30"/>
  <c r="AT65" i="30"/>
  <c r="BH64" i="30"/>
  <c r="BG64" i="30"/>
  <c r="BF64" i="30"/>
  <c r="BE64" i="30"/>
  <c r="BD64" i="30"/>
  <c r="BC64" i="30"/>
  <c r="AY64" i="30"/>
  <c r="AX64" i="30"/>
  <c r="AW64" i="30"/>
  <c r="AV64" i="30"/>
  <c r="AU64" i="30"/>
  <c r="AT64" i="30"/>
  <c r="BH63" i="30"/>
  <c r="BG63" i="30"/>
  <c r="BF63" i="30"/>
  <c r="BE63" i="30"/>
  <c r="BD63" i="30"/>
  <c r="BC63" i="30"/>
  <c r="AY63" i="30"/>
  <c r="AX63" i="30"/>
  <c r="AW63" i="30"/>
  <c r="AV63" i="30"/>
  <c r="AU63" i="30"/>
  <c r="AT63" i="30"/>
  <c r="BH62" i="30"/>
  <c r="BG62" i="30"/>
  <c r="BF62" i="30"/>
  <c r="BE62" i="30"/>
  <c r="BD62" i="30"/>
  <c r="BC62" i="30"/>
  <c r="AY62" i="30"/>
  <c r="AX62" i="30"/>
  <c r="AW62" i="30"/>
  <c r="AV62" i="30"/>
  <c r="AU62" i="30"/>
  <c r="AT62" i="30"/>
  <c r="BH58" i="30"/>
  <c r="BG58" i="30"/>
  <c r="BF58" i="30"/>
  <c r="BE58" i="30"/>
  <c r="BD58" i="30"/>
  <c r="BC58" i="30"/>
  <c r="BH57" i="30"/>
  <c r="BG57" i="30"/>
  <c r="BF57" i="30"/>
  <c r="BE57" i="30"/>
  <c r="BD57" i="30"/>
  <c r="BC57" i="30"/>
  <c r="BH56" i="30"/>
  <c r="BG56" i="30"/>
  <c r="BF56" i="30"/>
  <c r="BE56" i="30"/>
  <c r="BD56" i="30"/>
  <c r="BC56" i="30"/>
  <c r="BH55" i="30"/>
  <c r="BG55" i="30"/>
  <c r="BF55" i="30"/>
  <c r="BE55" i="30"/>
  <c r="BD55" i="30"/>
  <c r="BC55" i="30"/>
  <c r="BH54" i="30"/>
  <c r="BG54" i="30"/>
  <c r="BF54" i="30"/>
  <c r="BE54" i="30"/>
  <c r="BD54" i="30"/>
  <c r="BC54" i="30"/>
  <c r="BH53" i="30"/>
  <c r="BG53" i="30"/>
  <c r="BF53" i="30"/>
  <c r="BE53" i="30"/>
  <c r="BD53" i="30"/>
  <c r="BC53" i="30"/>
  <c r="BH52" i="30"/>
  <c r="BG52" i="30"/>
  <c r="BF52" i="30"/>
  <c r="BE52" i="30"/>
  <c r="BD52" i="30"/>
  <c r="BC52" i="30"/>
  <c r="BH51" i="30"/>
  <c r="BG51" i="30"/>
  <c r="BF51" i="30"/>
  <c r="BE51" i="30"/>
  <c r="BD51" i="30"/>
  <c r="BC51" i="30"/>
  <c r="BH50" i="30"/>
  <c r="BG50" i="30"/>
  <c r="BF50" i="30"/>
  <c r="BE50" i="30"/>
  <c r="BD50" i="30"/>
  <c r="BC50" i="30"/>
  <c r="BH49" i="30"/>
  <c r="BG49" i="30"/>
  <c r="BF49" i="30"/>
  <c r="BE49" i="30"/>
  <c r="BD49" i="30"/>
  <c r="BC49" i="30"/>
  <c r="BH48" i="30"/>
  <c r="BG48" i="30"/>
  <c r="BF48" i="30"/>
  <c r="BE48" i="30"/>
  <c r="BD48" i="30"/>
  <c r="BC48" i="30"/>
  <c r="BH47" i="30"/>
  <c r="BG47" i="30"/>
  <c r="BF47" i="30"/>
  <c r="BE47" i="30"/>
  <c r="BD47" i="30"/>
  <c r="BC47" i="30"/>
  <c r="BH46" i="30"/>
  <c r="BG46" i="30"/>
  <c r="BF46" i="30"/>
  <c r="BE46" i="30"/>
  <c r="BD46" i="30"/>
  <c r="BC46" i="30"/>
  <c r="BH45" i="30"/>
  <c r="BG45" i="30"/>
  <c r="BF45" i="30"/>
  <c r="BE45" i="30"/>
  <c r="BD45" i="30"/>
  <c r="BC45" i="30"/>
  <c r="BH44" i="30"/>
  <c r="BG44" i="30"/>
  <c r="BF44" i="30"/>
  <c r="BE44" i="30"/>
  <c r="BD44" i="30"/>
  <c r="BC44" i="30"/>
  <c r="BH43" i="30"/>
  <c r="BG43" i="30"/>
  <c r="BF43" i="30"/>
  <c r="BE43" i="30"/>
  <c r="BD43" i="30"/>
  <c r="BC43" i="30"/>
  <c r="BH42" i="30"/>
  <c r="BG42" i="30"/>
  <c r="BF42" i="30"/>
  <c r="BE42" i="30"/>
  <c r="BD42" i="30"/>
  <c r="BC42" i="30"/>
  <c r="AY58" i="30"/>
  <c r="AX58" i="30"/>
  <c r="AW58" i="30"/>
  <c r="AV58" i="30"/>
  <c r="AU58" i="30"/>
  <c r="AT58" i="30"/>
  <c r="AY57" i="30"/>
  <c r="AX57" i="30"/>
  <c r="AW57" i="30"/>
  <c r="AV57" i="30"/>
  <c r="AU57" i="30"/>
  <c r="AT57" i="30"/>
  <c r="AY56" i="30"/>
  <c r="AX56" i="30"/>
  <c r="AW56" i="30"/>
  <c r="AV56" i="30"/>
  <c r="AU56" i="30"/>
  <c r="AT56" i="30"/>
  <c r="AY55" i="30"/>
  <c r="AX55" i="30"/>
  <c r="AW55" i="30"/>
  <c r="AV55" i="30"/>
  <c r="AU55" i="30"/>
  <c r="AT55" i="30"/>
  <c r="AY54" i="30"/>
  <c r="AX54" i="30"/>
  <c r="AW54" i="30"/>
  <c r="AV54" i="30"/>
  <c r="AU54" i="30"/>
  <c r="AT54" i="30"/>
  <c r="AY53" i="30"/>
  <c r="AX53" i="30"/>
  <c r="AW53" i="30"/>
  <c r="AV53" i="30"/>
  <c r="AU53" i="30"/>
  <c r="AT53" i="30"/>
  <c r="AY52" i="30"/>
  <c r="AX52" i="30"/>
  <c r="AW52" i="30"/>
  <c r="AV52" i="30"/>
  <c r="AU52" i="30"/>
  <c r="AT52" i="30"/>
  <c r="AY51" i="30"/>
  <c r="AX51" i="30"/>
  <c r="AW51" i="30"/>
  <c r="AV51" i="30"/>
  <c r="AU51" i="30"/>
  <c r="AT51" i="30"/>
  <c r="AY50" i="30"/>
  <c r="AX50" i="30"/>
  <c r="AW50" i="30"/>
  <c r="AV50" i="30"/>
  <c r="AU50" i="30"/>
  <c r="AT50" i="30"/>
  <c r="AY49" i="30"/>
  <c r="AX49" i="30"/>
  <c r="AW49" i="30"/>
  <c r="AV49" i="30"/>
  <c r="AU49" i="30"/>
  <c r="AT49" i="30"/>
  <c r="AY48" i="30"/>
  <c r="AX48" i="30"/>
  <c r="AW48" i="30"/>
  <c r="AV48" i="30"/>
  <c r="AU48" i="30"/>
  <c r="AT48" i="30"/>
  <c r="AY47" i="30"/>
  <c r="AX47" i="30"/>
  <c r="AW47" i="30"/>
  <c r="AV47" i="30"/>
  <c r="AU47" i="30"/>
  <c r="AT47" i="30"/>
  <c r="AY46" i="30"/>
  <c r="AX46" i="30"/>
  <c r="AW46" i="30"/>
  <c r="AV46" i="30"/>
  <c r="AU46" i="30"/>
  <c r="AT46" i="30"/>
  <c r="AY45" i="30"/>
  <c r="AX45" i="30"/>
  <c r="AW45" i="30"/>
  <c r="AV45" i="30"/>
  <c r="AU45" i="30"/>
  <c r="AT45" i="30"/>
  <c r="AY44" i="30"/>
  <c r="AX44" i="30"/>
  <c r="AW44" i="30"/>
  <c r="AV44" i="30"/>
  <c r="AU44" i="30"/>
  <c r="AT44" i="30"/>
  <c r="AY43" i="30"/>
  <c r="AX43" i="30"/>
  <c r="AW43" i="30"/>
  <c r="AV43" i="30"/>
  <c r="AU43" i="30"/>
  <c r="AT43" i="30"/>
  <c r="AY42" i="30"/>
  <c r="AX42" i="30"/>
  <c r="AW42" i="30"/>
  <c r="AV42" i="30"/>
  <c r="AU42" i="30"/>
  <c r="AT42" i="30"/>
  <c r="AN5" i="52" l="1" a="1"/>
  <c r="AN5" i="52" s="1"/>
  <c r="AW13" i="52" s="1"/>
  <c r="AN5" i="48" a="1"/>
  <c r="AN5" i="48" s="1"/>
  <c r="AW13" i="48" s="1"/>
  <c r="AF4" i="52" a="1"/>
  <c r="AF4" i="52" s="1"/>
  <c r="AX9" i="52" s="1"/>
  <c r="AA2" i="52" a="1"/>
  <c r="AA2" i="52" s="1"/>
  <c r="AK4" i="52" a="1"/>
  <c r="AK4" i="52" s="1"/>
  <c r="AT10" i="52" s="1"/>
  <c r="AJ2" i="52" a="1"/>
  <c r="AJ2" i="52" s="1"/>
  <c r="AG5" i="52" a="1"/>
  <c r="AG5" i="52" s="1"/>
  <c r="AY12" i="52" s="1"/>
  <c r="AN2" i="52" a="1"/>
  <c r="AN2" i="52" s="1"/>
  <c r="AW4" i="52" s="1"/>
  <c r="AL5" i="52" a="1"/>
  <c r="AL5" i="52" s="1"/>
  <c r="AU13" i="52" s="1"/>
  <c r="AA3" i="52" a="1"/>
  <c r="AA3" i="52" s="1"/>
  <c r="AJ3" i="52" a="1"/>
  <c r="AJ3" i="52" s="1"/>
  <c r="AN3" i="52" a="1"/>
  <c r="AN3" i="52" s="1"/>
  <c r="AW7" i="52" s="1"/>
  <c r="AC2" i="48" a="1"/>
  <c r="AC2" i="48" s="1"/>
  <c r="AU3" i="48" s="1"/>
  <c r="AL2" i="52" a="1"/>
  <c r="AL2" i="52" s="1"/>
  <c r="AU4" i="52" s="1"/>
  <c r="AL3" i="52" a="1"/>
  <c r="AL3" i="52" s="1"/>
  <c r="AU7" i="52" s="1"/>
  <c r="AJ4" i="52" a="1"/>
  <c r="AJ4" i="52" s="1"/>
  <c r="AK5" i="52" a="1"/>
  <c r="AK5" i="52" s="1"/>
  <c r="AT13" i="52" s="1"/>
  <c r="AP2" i="52" a="1"/>
  <c r="AP2" i="52" s="1"/>
  <c r="AY4" i="52" s="1"/>
  <c r="AP3" i="52" a="1"/>
  <c r="AP3" i="52" s="1"/>
  <c r="AY7" i="52" s="1"/>
  <c r="AN4" i="52" a="1"/>
  <c r="AN4" i="52" s="1"/>
  <c r="AW10" i="52" s="1"/>
  <c r="AO5" i="52" a="1"/>
  <c r="AO5" i="52" s="1"/>
  <c r="AX13" i="52" s="1"/>
  <c r="AO4" i="52" a="1"/>
  <c r="AO4" i="52" s="1"/>
  <c r="AX10" i="52" s="1"/>
  <c r="AP5" i="52" a="1"/>
  <c r="AP5" i="52" s="1"/>
  <c r="AY13" i="52" s="1"/>
  <c r="AC2" i="52" a="1"/>
  <c r="AC2" i="52" s="1"/>
  <c r="AU3" i="52" s="1"/>
  <c r="AC3" i="52" a="1"/>
  <c r="AC3" i="52" s="1"/>
  <c r="AU6" i="52" s="1"/>
  <c r="AA4" i="52" a="1"/>
  <c r="AA4" i="52" s="1"/>
  <c r="AB5" i="52" a="1"/>
  <c r="AB5" i="52" s="1"/>
  <c r="AT12" i="52" s="1"/>
  <c r="AE2" i="52" a="1"/>
  <c r="AE2" i="52" s="1"/>
  <c r="AW3" i="52" s="1"/>
  <c r="AE3" i="52" a="1"/>
  <c r="AE3" i="52" s="1"/>
  <c r="AW6" i="52" s="1"/>
  <c r="AB4" i="52" a="1"/>
  <c r="AB4" i="52" s="1"/>
  <c r="AT9" i="52" s="1"/>
  <c r="AC5" i="52" a="1"/>
  <c r="AC5" i="52" s="1"/>
  <c r="AU12" i="52" s="1"/>
  <c r="AG2" i="52" a="1"/>
  <c r="AG2" i="52" s="1"/>
  <c r="AY3" i="52" s="1"/>
  <c r="AG3" i="52" a="1"/>
  <c r="AG3" i="52" s="1"/>
  <c r="AY6" i="52" s="1"/>
  <c r="AE4" i="52" a="1"/>
  <c r="AE4" i="52" s="1"/>
  <c r="AW9" i="52" s="1"/>
  <c r="AF5" i="52" a="1"/>
  <c r="AF5" i="52" s="1"/>
  <c r="AX12" i="52" s="1"/>
  <c r="Z2" i="52" a="1"/>
  <c r="Z2" i="52" s="1"/>
  <c r="AD2" i="52" a="1"/>
  <c r="AD2" i="52" s="1"/>
  <c r="AV3" i="52" s="1"/>
  <c r="AI2" i="52" a="1"/>
  <c r="AI2" i="52" s="1"/>
  <c r="AM2" i="52" a="1"/>
  <c r="AM2" i="52" s="1"/>
  <c r="AV4" i="52" s="1"/>
  <c r="Z3" i="52" a="1"/>
  <c r="Z3" i="52" s="1"/>
  <c r="AD3" i="52" a="1"/>
  <c r="AD3" i="52" s="1"/>
  <c r="AV6" i="52" s="1"/>
  <c r="AI3" i="52" a="1"/>
  <c r="AI3" i="52" s="1"/>
  <c r="AM3" i="52" a="1"/>
  <c r="AM3" i="52" s="1"/>
  <c r="AV7" i="52" s="1"/>
  <c r="E50" i="52" a="1"/>
  <c r="E50" i="52" s="1"/>
  <c r="I50" i="52" a="1"/>
  <c r="I50" i="52" s="1"/>
  <c r="B50" i="52" a="1"/>
  <c r="B50" i="52" s="1"/>
  <c r="F50" i="52" a="1"/>
  <c r="F50" i="52" s="1"/>
  <c r="J50" i="52" a="1"/>
  <c r="J50" i="52" s="1"/>
  <c r="AB2" i="52" a="1"/>
  <c r="AB2" i="52" s="1"/>
  <c r="AT3" i="52" s="1"/>
  <c r="AF2" i="52" a="1"/>
  <c r="AF2" i="52" s="1"/>
  <c r="AX3" i="52" s="1"/>
  <c r="AK2" i="52" a="1"/>
  <c r="AK2" i="52" s="1"/>
  <c r="AT4" i="52" s="1"/>
  <c r="AO2" i="52" a="1"/>
  <c r="AO2" i="52" s="1"/>
  <c r="AX4" i="52" s="1"/>
  <c r="AB3" i="52" a="1"/>
  <c r="AB3" i="52" s="1"/>
  <c r="AT6" i="52" s="1"/>
  <c r="AF3" i="52" a="1"/>
  <c r="AF3" i="52" s="1"/>
  <c r="AX6" i="52" s="1"/>
  <c r="AK3" i="52" a="1"/>
  <c r="AK3" i="52" s="1"/>
  <c r="AT7" i="52" s="1"/>
  <c r="AO3" i="52" a="1"/>
  <c r="AO3" i="52" s="1"/>
  <c r="AX7" i="52" s="1"/>
  <c r="C50" i="52" a="1"/>
  <c r="C50" i="52" s="1"/>
  <c r="G50" i="52" a="1"/>
  <c r="G50" i="52" s="1"/>
  <c r="AC4" i="52" a="1"/>
  <c r="AC4" i="52" s="1"/>
  <c r="AU9" i="52" s="1"/>
  <c r="AG4" i="52" a="1"/>
  <c r="AG4" i="52" s="1"/>
  <c r="AY9" i="52" s="1"/>
  <c r="AL4" i="52" a="1"/>
  <c r="AL4" i="52" s="1"/>
  <c r="AU10" i="52" s="1"/>
  <c r="AP4" i="52" a="1"/>
  <c r="AP4" i="52" s="1"/>
  <c r="AY10" i="52" s="1"/>
  <c r="Z5" i="52" a="1"/>
  <c r="Z5" i="52" s="1"/>
  <c r="AD5" i="52" a="1"/>
  <c r="AD5" i="52" s="1"/>
  <c r="AV12" i="52" s="1"/>
  <c r="AI5" i="52" a="1"/>
  <c r="AI5" i="52" s="1"/>
  <c r="AM5" i="52" a="1"/>
  <c r="AM5" i="52" s="1"/>
  <c r="AV13" i="52" s="1"/>
  <c r="D50" i="52" a="1"/>
  <c r="D50" i="52" s="1"/>
  <c r="H50" i="52" a="1"/>
  <c r="H50" i="52" s="1"/>
  <c r="Z4" i="52" a="1"/>
  <c r="Z4" i="52" s="1"/>
  <c r="AD4" i="52" a="1"/>
  <c r="AD4" i="52" s="1"/>
  <c r="AV9" i="52" s="1"/>
  <c r="AI4" i="52" a="1"/>
  <c r="AI4" i="52" s="1"/>
  <c r="AM4" i="52" a="1"/>
  <c r="AM4" i="52" s="1"/>
  <c r="AV10" i="52" s="1"/>
  <c r="AA5" i="52" a="1"/>
  <c r="AA5" i="52" s="1"/>
  <c r="AE5" i="52" a="1"/>
  <c r="AE5" i="52" s="1"/>
  <c r="AW12" i="52" s="1"/>
  <c r="AJ5" i="52" a="1"/>
  <c r="AJ5" i="52" s="1"/>
  <c r="AG2" i="48" a="1"/>
  <c r="AG2" i="48" s="1"/>
  <c r="AY3" i="48" s="1"/>
  <c r="AN2" i="48" a="1"/>
  <c r="AN2" i="48" s="1"/>
  <c r="AW4" i="48" s="1"/>
  <c r="AM2" i="48" a="1"/>
  <c r="AM2" i="48" s="1"/>
  <c r="AV4" i="48" s="1"/>
  <c r="Z2" i="48" a="1"/>
  <c r="Z2" i="48" s="1"/>
  <c r="AP2" i="48" a="1"/>
  <c r="AP2" i="48" s="1"/>
  <c r="AY4" i="48" s="1"/>
  <c r="AA2" i="48" a="1"/>
  <c r="AA2" i="48" s="1"/>
  <c r="Z3" i="48" a="1"/>
  <c r="Z3" i="48" s="1"/>
  <c r="AD2" i="48" a="1"/>
  <c r="AD2" i="48" s="1"/>
  <c r="AV3" i="48" s="1"/>
  <c r="AE2" i="48" a="1"/>
  <c r="AE2" i="48" s="1"/>
  <c r="AW3" i="48" s="1"/>
  <c r="AD3" i="48" a="1"/>
  <c r="AD3" i="48" s="1"/>
  <c r="AV6" i="48" s="1"/>
  <c r="AI2" i="48" a="1"/>
  <c r="AI2" i="48" s="1"/>
  <c r="AJ2" i="48" a="1"/>
  <c r="AJ2" i="48" s="1"/>
  <c r="AJ3" i="48" a="1"/>
  <c r="AJ3" i="48" s="1"/>
  <c r="AL2" i="48" a="1"/>
  <c r="AL2" i="48" s="1"/>
  <c r="AU4" i="48" s="1"/>
  <c r="AE3" i="48" a="1"/>
  <c r="AE3" i="48" s="1"/>
  <c r="AW6" i="48" s="1"/>
  <c r="AL3" i="48" a="1"/>
  <c r="AL3" i="48" s="1"/>
  <c r="AU7" i="48" s="1"/>
  <c r="AM3" i="48" a="1"/>
  <c r="AM3" i="48" s="1"/>
  <c r="AV7" i="48" s="1"/>
  <c r="AA3" i="48" a="1"/>
  <c r="AA3" i="48" s="1"/>
  <c r="AC3" i="48" a="1"/>
  <c r="AC3" i="48" s="1"/>
  <c r="AU6" i="48" s="1"/>
  <c r="AN3" i="48" a="1"/>
  <c r="AN3" i="48" s="1"/>
  <c r="AW7" i="48" s="1"/>
  <c r="AP3" i="48" a="1"/>
  <c r="AP3" i="48" s="1"/>
  <c r="AY7" i="48" s="1"/>
  <c r="AG3" i="48" a="1"/>
  <c r="AG3" i="48" s="1"/>
  <c r="AY6" i="48" s="1"/>
  <c r="AI3" i="48" a="1"/>
  <c r="AI3" i="48" s="1"/>
  <c r="E50" i="48" a="1"/>
  <c r="E50" i="48" s="1"/>
  <c r="I50" i="48" a="1"/>
  <c r="I50" i="48" s="1"/>
  <c r="AA4" i="48" a="1"/>
  <c r="AA4" i="48" s="1"/>
  <c r="AE4" i="48" a="1"/>
  <c r="AE4" i="48" s="1"/>
  <c r="AW9" i="48" s="1"/>
  <c r="AJ4" i="48" a="1"/>
  <c r="AJ4" i="48" s="1"/>
  <c r="AN4" i="48" a="1"/>
  <c r="AN4" i="48" s="1"/>
  <c r="AW10" i="48" s="1"/>
  <c r="AB5" i="48" a="1"/>
  <c r="AB5" i="48" s="1"/>
  <c r="AT12" i="48" s="1"/>
  <c r="AF5" i="48" a="1"/>
  <c r="AF5" i="48" s="1"/>
  <c r="AX12" i="48" s="1"/>
  <c r="AK5" i="48" a="1"/>
  <c r="AK5" i="48" s="1"/>
  <c r="AT13" i="48" s="1"/>
  <c r="AO5" i="48" a="1"/>
  <c r="AO5" i="48" s="1"/>
  <c r="AX13" i="48" s="1"/>
  <c r="B50" i="48" a="1"/>
  <c r="B50" i="48" s="1"/>
  <c r="F50" i="48" a="1"/>
  <c r="F50" i="48" s="1"/>
  <c r="J50" i="48" a="1"/>
  <c r="J50" i="48" s="1"/>
  <c r="AB4" i="48" a="1"/>
  <c r="AB4" i="48" s="1"/>
  <c r="AT9" i="48" s="1"/>
  <c r="AF4" i="48" a="1"/>
  <c r="AF4" i="48" s="1"/>
  <c r="AX9" i="48" s="1"/>
  <c r="AK4" i="48" a="1"/>
  <c r="AK4" i="48" s="1"/>
  <c r="AT10" i="48" s="1"/>
  <c r="AO4" i="48" a="1"/>
  <c r="AO4" i="48" s="1"/>
  <c r="AX10" i="48" s="1"/>
  <c r="AC5" i="48" a="1"/>
  <c r="AC5" i="48" s="1"/>
  <c r="AU12" i="48" s="1"/>
  <c r="AG5" i="48" a="1"/>
  <c r="AG5" i="48" s="1"/>
  <c r="AY12" i="48" s="1"/>
  <c r="AL5" i="48" a="1"/>
  <c r="AL5" i="48" s="1"/>
  <c r="AU13" i="48" s="1"/>
  <c r="AP5" i="48" a="1"/>
  <c r="AP5" i="48" s="1"/>
  <c r="AY13" i="48" s="1"/>
  <c r="AB2" i="48" a="1"/>
  <c r="AB2" i="48" s="1"/>
  <c r="AT3" i="48" s="1"/>
  <c r="AF2" i="48" a="1"/>
  <c r="AF2" i="48" s="1"/>
  <c r="AX3" i="48" s="1"/>
  <c r="AK2" i="48" a="1"/>
  <c r="AK2" i="48" s="1"/>
  <c r="AT4" i="48" s="1"/>
  <c r="AO2" i="48" a="1"/>
  <c r="AO2" i="48" s="1"/>
  <c r="AX4" i="48" s="1"/>
  <c r="AB3" i="48" a="1"/>
  <c r="AB3" i="48" s="1"/>
  <c r="AT6" i="48" s="1"/>
  <c r="AF3" i="48" a="1"/>
  <c r="AF3" i="48" s="1"/>
  <c r="AX6" i="48" s="1"/>
  <c r="AK3" i="48" a="1"/>
  <c r="AK3" i="48" s="1"/>
  <c r="AT7" i="48" s="1"/>
  <c r="AO3" i="48" a="1"/>
  <c r="AO3" i="48" s="1"/>
  <c r="AX7" i="48" s="1"/>
  <c r="C50" i="48" a="1"/>
  <c r="C50" i="48" s="1"/>
  <c r="G50" i="48" a="1"/>
  <c r="G50" i="48" s="1"/>
  <c r="AC4" i="48" a="1"/>
  <c r="AC4" i="48" s="1"/>
  <c r="AU9" i="48" s="1"/>
  <c r="AG4" i="48" a="1"/>
  <c r="AG4" i="48" s="1"/>
  <c r="AY9" i="48" s="1"/>
  <c r="AL4" i="48" a="1"/>
  <c r="AL4" i="48" s="1"/>
  <c r="AU10" i="48" s="1"/>
  <c r="AP4" i="48" a="1"/>
  <c r="AP4" i="48" s="1"/>
  <c r="AY10" i="48" s="1"/>
  <c r="Z5" i="48" a="1"/>
  <c r="Z5" i="48" s="1"/>
  <c r="AD5" i="48" a="1"/>
  <c r="AD5" i="48" s="1"/>
  <c r="AV12" i="48" s="1"/>
  <c r="AI5" i="48" a="1"/>
  <c r="AI5" i="48" s="1"/>
  <c r="AM5" i="48" a="1"/>
  <c r="AM5" i="48" s="1"/>
  <c r="AV13" i="48" s="1"/>
  <c r="D50" i="48" a="1"/>
  <c r="D50" i="48" s="1"/>
  <c r="H50" i="48" a="1"/>
  <c r="H50" i="48" s="1"/>
  <c r="Z4" i="48" a="1"/>
  <c r="Z4" i="48" s="1"/>
  <c r="AD4" i="48" a="1"/>
  <c r="AD4" i="48" s="1"/>
  <c r="AV9" i="48" s="1"/>
  <c r="AI4" i="48" a="1"/>
  <c r="AI4" i="48" s="1"/>
  <c r="AM4" i="48" a="1"/>
  <c r="AM4" i="48" s="1"/>
  <c r="AV10" i="48" s="1"/>
  <c r="AA5" i="48" a="1"/>
  <c r="AA5" i="48" s="1"/>
  <c r="AE5" i="48" a="1"/>
  <c r="AE5" i="48" s="1"/>
  <c r="AW12" i="48" s="1"/>
  <c r="AJ5" i="48" a="1"/>
  <c r="AJ5" i="48" s="1"/>
  <c r="Z2" i="46" a="1"/>
  <c r="Z2" i="46" s="1"/>
  <c r="AP2" i="46" a="1"/>
  <c r="AP2" i="46" s="1"/>
  <c r="AY4" i="46" s="1"/>
  <c r="AC2" i="46" a="1"/>
  <c r="AC2" i="46" s="1"/>
  <c r="AU3" i="46" s="1"/>
  <c r="AI2" i="46" a="1"/>
  <c r="AI2" i="46" s="1"/>
  <c r="Z3" i="46" a="1"/>
  <c r="Z3" i="46" s="1"/>
  <c r="AC3" i="46" a="1"/>
  <c r="AC3" i="46" s="1"/>
  <c r="AU6" i="46" s="1"/>
  <c r="AA2" i="46" a="1"/>
  <c r="AA2" i="46" s="1"/>
  <c r="AB2" i="46" a="1"/>
  <c r="AB2" i="46" s="1"/>
  <c r="AT3" i="46" s="1"/>
  <c r="AI3" i="46" a="1"/>
  <c r="AI3" i="46" s="1"/>
  <c r="AD2" i="46" a="1"/>
  <c r="AD2" i="46" s="1"/>
  <c r="AV3" i="46" s="1"/>
  <c r="AG2" i="46" a="1"/>
  <c r="AG2" i="46" s="1"/>
  <c r="AY3" i="46" s="1"/>
  <c r="AP3" i="46" a="1"/>
  <c r="AP3" i="46" s="1"/>
  <c r="AY7" i="46" s="1"/>
  <c r="AL2" i="46" a="1"/>
  <c r="AL2" i="46" s="1"/>
  <c r="AU4" i="46" s="1"/>
  <c r="AM2" i="46" a="1"/>
  <c r="AM2" i="46" s="1"/>
  <c r="AV4" i="46" s="1"/>
  <c r="AG3" i="46" a="1"/>
  <c r="AG3" i="46" s="1"/>
  <c r="AY6" i="46" s="1"/>
  <c r="AD4" i="46" a="1"/>
  <c r="AD4" i="46" s="1"/>
  <c r="AV9" i="46" s="1"/>
  <c r="AL3" i="46" a="1"/>
  <c r="AL3" i="46" s="1"/>
  <c r="AU7" i="46" s="1"/>
  <c r="E50" i="46" a="1"/>
  <c r="E50" i="46" s="1"/>
  <c r="AM3" i="46" a="1"/>
  <c r="AM3" i="46" s="1"/>
  <c r="AV7" i="46" s="1"/>
  <c r="I50" i="46" a="1"/>
  <c r="I50" i="46" s="1"/>
  <c r="AD3" i="46" a="1"/>
  <c r="AD3" i="46" s="1"/>
  <c r="AV6" i="46" s="1"/>
  <c r="Z4" i="46" a="1"/>
  <c r="Z4" i="46" s="1"/>
  <c r="AA4" i="46" a="1"/>
  <c r="AA4" i="46" s="1"/>
  <c r="AE4" i="46" a="1"/>
  <c r="AE4" i="46" s="1"/>
  <c r="AW9" i="46" s="1"/>
  <c r="AJ4" i="46" a="1"/>
  <c r="AJ4" i="46" s="1"/>
  <c r="AN4" i="46" a="1"/>
  <c r="AN4" i="46" s="1"/>
  <c r="AW10" i="46" s="1"/>
  <c r="AB5" i="46" a="1"/>
  <c r="AB5" i="46" s="1"/>
  <c r="AT12" i="46" s="1"/>
  <c r="AF5" i="46" a="1"/>
  <c r="AF5" i="46" s="1"/>
  <c r="AX12" i="46" s="1"/>
  <c r="AK5" i="46" a="1"/>
  <c r="AK5" i="46" s="1"/>
  <c r="AT13" i="46" s="1"/>
  <c r="AO5" i="46" a="1"/>
  <c r="AO5" i="46" s="1"/>
  <c r="AX13" i="46" s="1"/>
  <c r="AE2" i="46" a="1"/>
  <c r="AE2" i="46" s="1"/>
  <c r="AW3" i="46" s="1"/>
  <c r="AJ2" i="46" a="1"/>
  <c r="AJ2" i="46" s="1"/>
  <c r="AN2" i="46" a="1"/>
  <c r="AN2" i="46" s="1"/>
  <c r="AW4" i="46" s="1"/>
  <c r="AA3" i="46" a="1"/>
  <c r="AA3" i="46" s="1"/>
  <c r="AE3" i="46" a="1"/>
  <c r="AE3" i="46" s="1"/>
  <c r="AW6" i="46" s="1"/>
  <c r="AJ3" i="46" a="1"/>
  <c r="AJ3" i="46" s="1"/>
  <c r="AN3" i="46" a="1"/>
  <c r="AN3" i="46" s="1"/>
  <c r="AW7" i="46" s="1"/>
  <c r="B50" i="46" a="1"/>
  <c r="B50" i="46" s="1"/>
  <c r="F50" i="46" a="1"/>
  <c r="F50" i="46" s="1"/>
  <c r="J50" i="46" a="1"/>
  <c r="J50" i="46" s="1"/>
  <c r="AB4" i="46" a="1"/>
  <c r="AB4" i="46" s="1"/>
  <c r="AT9" i="46" s="1"/>
  <c r="AF4" i="46" a="1"/>
  <c r="AF4" i="46" s="1"/>
  <c r="AX9" i="46" s="1"/>
  <c r="AK4" i="46" a="1"/>
  <c r="AK4" i="46" s="1"/>
  <c r="AT10" i="46" s="1"/>
  <c r="AO4" i="46" a="1"/>
  <c r="AO4" i="46" s="1"/>
  <c r="AX10" i="46" s="1"/>
  <c r="AC5" i="46" a="1"/>
  <c r="AC5" i="46" s="1"/>
  <c r="AU12" i="46" s="1"/>
  <c r="AG5" i="46" a="1"/>
  <c r="AG5" i="46" s="1"/>
  <c r="AY12" i="46" s="1"/>
  <c r="AL5" i="46" a="1"/>
  <c r="AL5" i="46" s="1"/>
  <c r="AU13" i="46" s="1"/>
  <c r="AP5" i="46" a="1"/>
  <c r="AP5" i="46" s="1"/>
  <c r="AY13" i="46" s="1"/>
  <c r="AF2" i="46" a="1"/>
  <c r="AF2" i="46" s="1"/>
  <c r="AX3" i="46" s="1"/>
  <c r="AK2" i="46" a="1"/>
  <c r="AK2" i="46" s="1"/>
  <c r="AT4" i="46" s="1"/>
  <c r="AO2" i="46" a="1"/>
  <c r="AO2" i="46" s="1"/>
  <c r="AX4" i="46" s="1"/>
  <c r="AB3" i="46" a="1"/>
  <c r="AB3" i="46" s="1"/>
  <c r="AT6" i="46" s="1"/>
  <c r="AF3" i="46" a="1"/>
  <c r="AF3" i="46" s="1"/>
  <c r="AX6" i="46" s="1"/>
  <c r="AK3" i="46" a="1"/>
  <c r="AK3" i="46" s="1"/>
  <c r="AT7" i="46" s="1"/>
  <c r="AO3" i="46" a="1"/>
  <c r="AO3" i="46" s="1"/>
  <c r="AX7" i="46" s="1"/>
  <c r="C50" i="46" a="1"/>
  <c r="C50" i="46" s="1"/>
  <c r="G50" i="46" a="1"/>
  <c r="G50" i="46" s="1"/>
  <c r="AC4" i="46" a="1"/>
  <c r="AC4" i="46" s="1"/>
  <c r="AU9" i="46" s="1"/>
  <c r="AG4" i="46" a="1"/>
  <c r="AG4" i="46" s="1"/>
  <c r="AY9" i="46" s="1"/>
  <c r="AL4" i="46" a="1"/>
  <c r="AL4" i="46" s="1"/>
  <c r="AU10" i="46" s="1"/>
  <c r="AP4" i="46" a="1"/>
  <c r="AP4" i="46" s="1"/>
  <c r="AY10" i="46" s="1"/>
  <c r="Z5" i="46" a="1"/>
  <c r="Z5" i="46" s="1"/>
  <c r="AD5" i="46" a="1"/>
  <c r="AD5" i="46" s="1"/>
  <c r="AV12" i="46" s="1"/>
  <c r="AI5" i="46" a="1"/>
  <c r="AI5" i="46" s="1"/>
  <c r="AM5" i="46" a="1"/>
  <c r="AM5" i="46" s="1"/>
  <c r="AV13" i="46" s="1"/>
  <c r="D50" i="46" a="1"/>
  <c r="D50" i="46" s="1"/>
  <c r="H50" i="46" a="1"/>
  <c r="H50" i="46" s="1"/>
  <c r="AI4" i="46" a="1"/>
  <c r="AI4" i="46" s="1"/>
  <c r="AM4" i="46" a="1"/>
  <c r="AM4" i="46" s="1"/>
  <c r="AV10" i="46" s="1"/>
  <c r="AA5" i="46" a="1"/>
  <c r="AA5" i="46" s="1"/>
  <c r="AE5" i="46" a="1"/>
  <c r="AE5" i="46" s="1"/>
  <c r="AW12" i="46" s="1"/>
  <c r="AJ5" i="46" a="1"/>
  <c r="AJ5" i="46" s="1"/>
  <c r="AT22" i="30"/>
  <c r="AU22" i="30"/>
  <c r="AV22" i="30"/>
  <c r="AW22" i="30"/>
  <c r="AX22" i="30"/>
  <c r="AY22" i="30"/>
  <c r="AT23" i="30"/>
  <c r="AU23" i="30"/>
  <c r="AV23" i="30"/>
  <c r="AW23" i="30"/>
  <c r="AX23" i="30"/>
  <c r="AY23" i="30"/>
  <c r="AT24" i="30"/>
  <c r="AU24" i="30"/>
  <c r="AV24" i="30"/>
  <c r="AW24" i="30"/>
  <c r="AX24" i="30"/>
  <c r="AY24" i="30"/>
  <c r="AT25" i="30"/>
  <c r="AU25" i="30"/>
  <c r="AV25" i="30"/>
  <c r="AW25" i="30"/>
  <c r="AX25" i="30"/>
  <c r="AY25" i="30"/>
  <c r="AT26" i="30"/>
  <c r="AU26" i="30"/>
  <c r="AV26" i="30"/>
  <c r="AW26" i="30"/>
  <c r="AX26" i="30"/>
  <c r="AY26" i="30"/>
  <c r="AT27" i="30"/>
  <c r="AU27" i="30"/>
  <c r="AV27" i="30"/>
  <c r="AW27" i="30"/>
  <c r="AX27" i="30"/>
  <c r="AY27" i="30"/>
  <c r="AT28" i="30"/>
  <c r="AU28" i="30"/>
  <c r="AV28" i="30"/>
  <c r="AW28" i="30"/>
  <c r="AX28" i="30"/>
  <c r="AY28" i="30"/>
  <c r="AT29" i="30"/>
  <c r="AU29" i="30"/>
  <c r="AV29" i="30"/>
  <c r="AW29" i="30"/>
  <c r="AX29" i="30"/>
  <c r="AY29" i="30"/>
  <c r="AT30" i="30"/>
  <c r="AU30" i="30"/>
  <c r="AV30" i="30"/>
  <c r="AW30" i="30"/>
  <c r="AX30" i="30"/>
  <c r="AY30" i="30"/>
  <c r="AT31" i="30"/>
  <c r="AU31" i="30"/>
  <c r="AV31" i="30"/>
  <c r="AW31" i="30"/>
  <c r="AX31" i="30"/>
  <c r="AY31" i="30"/>
  <c r="AT32" i="30"/>
  <c r="AU32" i="30"/>
  <c r="AV32" i="30"/>
  <c r="AW32" i="30"/>
  <c r="AX32" i="30"/>
  <c r="AY32" i="30"/>
  <c r="AT33" i="30"/>
  <c r="AU33" i="30"/>
  <c r="AV33" i="30"/>
  <c r="AW33" i="30"/>
  <c r="AX33" i="30"/>
  <c r="AY33" i="30"/>
  <c r="AT34" i="30"/>
  <c r="AU34" i="30"/>
  <c r="AV34" i="30"/>
  <c r="AW34" i="30"/>
  <c r="AX34" i="30"/>
  <c r="AY34" i="30"/>
  <c r="AT35" i="30"/>
  <c r="AU35" i="30"/>
  <c r="AV35" i="30"/>
  <c r="AW35" i="30"/>
  <c r="AX35" i="30"/>
  <c r="AY35" i="30"/>
  <c r="AT36" i="30"/>
  <c r="AU36" i="30"/>
  <c r="AV36" i="30"/>
  <c r="AW36" i="30"/>
  <c r="AX36" i="30"/>
  <c r="AY36" i="30"/>
  <c r="AT37" i="30"/>
  <c r="AU37" i="30"/>
  <c r="AV37" i="30"/>
  <c r="AW37" i="30"/>
  <c r="AX37" i="30"/>
  <c r="AY37" i="30"/>
  <c r="AT38" i="30"/>
  <c r="AU38" i="30"/>
  <c r="AV38" i="30"/>
  <c r="AW38" i="30"/>
  <c r="AX38" i="30"/>
  <c r="AY38" i="30"/>
  <c r="H2" i="46" l="1"/>
  <c r="F2" i="46"/>
  <c r="J2" i="46"/>
  <c r="D2" i="46"/>
  <c r="H2" i="52"/>
  <c r="J2" i="52"/>
  <c r="F2" i="52"/>
  <c r="D2" i="52"/>
  <c r="J2" i="48"/>
  <c r="F2" i="48"/>
  <c r="D2" i="48"/>
  <c r="H2" i="48"/>
  <c r="C97" i="39"/>
  <c r="BD2" i="30" l="1"/>
  <c r="BD3" i="30" l="1"/>
  <c r="AA5" i="30" l="1" a="1"/>
  <c r="AA5" i="30" s="1"/>
  <c r="Z5" i="30" a="1"/>
  <c r="Z5" i="30" s="1"/>
  <c r="AO4" i="30" a="1"/>
  <c r="AO4" i="30" s="1"/>
  <c r="AX10" i="30" s="1"/>
  <c r="AJ4" i="30" a="1"/>
  <c r="AJ4" i="30" s="1"/>
  <c r="AK5" i="30" a="1"/>
  <c r="AK5" i="30" s="1"/>
  <c r="AT13" i="30" s="1"/>
  <c r="AI4" i="30" a="1"/>
  <c r="AI4" i="30" s="1"/>
  <c r="AJ5" i="30" a="1"/>
  <c r="AJ5" i="30" s="1"/>
  <c r="AD4" i="30" a="1"/>
  <c r="AD4" i="30" s="1"/>
  <c r="AV9" i="30" s="1"/>
  <c r="AB5" i="30" a="1"/>
  <c r="AB5" i="30" s="1"/>
  <c r="AT12" i="30" s="1"/>
  <c r="AI5" i="30" a="1"/>
  <c r="AI5" i="30" s="1"/>
  <c r="AA4" i="30" a="1"/>
  <c r="AA4" i="30" s="1"/>
  <c r="Z4" i="30" a="1"/>
  <c r="Z4" i="30" s="1"/>
  <c r="AM4" i="30" a="1"/>
  <c r="AM4" i="30" s="1"/>
  <c r="AV10" i="30" s="1"/>
  <c r="AF4" i="30" a="1"/>
  <c r="AF4" i="30" s="1"/>
  <c r="AX9" i="30" s="1"/>
  <c r="AO5" i="30" a="1"/>
  <c r="AO5" i="30" s="1"/>
  <c r="AX13" i="30" s="1"/>
  <c r="AP4" i="30" a="1"/>
  <c r="AP4" i="30" s="1"/>
  <c r="AY10" i="30" s="1"/>
  <c r="AC4" i="30" a="1"/>
  <c r="AC4" i="30" s="1"/>
  <c r="AU9" i="30" s="1"/>
  <c r="AM5" i="30" a="1"/>
  <c r="AM5" i="30" s="1"/>
  <c r="AV13" i="30" s="1"/>
  <c r="AL4" i="30" a="1"/>
  <c r="AL4" i="30" s="1"/>
  <c r="AU10" i="30" s="1"/>
  <c r="AN4" i="30" a="1"/>
  <c r="AN4" i="30" s="1"/>
  <c r="AW10" i="30" s="1"/>
  <c r="AG4" i="30" a="1"/>
  <c r="AG4" i="30" s="1"/>
  <c r="AY9" i="30" s="1"/>
  <c r="AE5" i="30" a="1"/>
  <c r="AE5" i="30" s="1"/>
  <c r="AW12" i="30" s="1"/>
  <c r="AG5" i="30" a="1"/>
  <c r="AG5" i="30" s="1"/>
  <c r="AY12" i="30" s="1"/>
  <c r="AC5" i="30" a="1"/>
  <c r="AC5" i="30" s="1"/>
  <c r="AU12" i="30" s="1"/>
  <c r="AP5" i="30" a="1"/>
  <c r="AP5" i="30" s="1"/>
  <c r="AY13" i="30" s="1"/>
  <c r="AD5" i="30" a="1"/>
  <c r="AD5" i="30" s="1"/>
  <c r="AV12" i="30" s="1"/>
  <c r="AB4" i="30" a="1"/>
  <c r="AB4" i="30" s="1"/>
  <c r="AT9" i="30" s="1"/>
  <c r="AN5" i="30" a="1"/>
  <c r="AN5" i="30" s="1"/>
  <c r="AW13" i="30" s="1"/>
  <c r="AF5" i="30" a="1"/>
  <c r="AF5" i="30" s="1"/>
  <c r="AX12" i="30" s="1"/>
  <c r="AE4" i="30" a="1"/>
  <c r="AE4" i="30" s="1"/>
  <c r="AW9" i="30" s="1"/>
  <c r="AK4" i="30" a="1"/>
  <c r="AK4" i="30" s="1"/>
  <c r="AT10" i="30" s="1"/>
  <c r="AL5" i="30" a="1"/>
  <c r="AL5" i="30" s="1"/>
  <c r="AU13" i="30" s="1"/>
  <c r="AP3" i="30" a="1"/>
  <c r="AP3" i="30" s="1"/>
  <c r="AY7" i="30" s="1"/>
  <c r="AI3" i="30" a="1"/>
  <c r="AI3" i="30" s="1"/>
  <c r="AO3" i="30" a="1"/>
  <c r="AO3" i="30" s="1"/>
  <c r="AX7" i="30" s="1"/>
  <c r="AN3" i="30" a="1"/>
  <c r="AN3" i="30" s="1"/>
  <c r="AW7" i="30" s="1"/>
  <c r="AJ3" i="30" a="1"/>
  <c r="AJ3" i="30" s="1"/>
  <c r="AM3" i="30" a="1"/>
  <c r="AM3" i="30" s="1"/>
  <c r="AV7" i="30" s="1"/>
  <c r="AL3" i="30" a="1"/>
  <c r="AL3" i="30" s="1"/>
  <c r="AU7" i="30" s="1"/>
  <c r="AK3" i="30" a="1"/>
  <c r="AK3" i="30" s="1"/>
  <c r="AT7" i="30" s="1"/>
  <c r="AB2" i="30" a="1"/>
  <c r="AB2" i="30" s="1"/>
  <c r="AT3" i="30" s="1"/>
  <c r="AC3" i="30" a="1"/>
  <c r="AC3" i="30" s="1"/>
  <c r="AU6" i="30" s="1"/>
  <c r="AB3" i="30" a="1"/>
  <c r="AB3" i="30" s="1"/>
  <c r="AT6" i="30" s="1"/>
  <c r="AG3" i="30" a="1"/>
  <c r="AG3" i="30" s="1"/>
  <c r="AY6" i="30" s="1"/>
  <c r="AA3" i="30" a="1"/>
  <c r="AA3" i="30" s="1"/>
  <c r="AF3" i="30" a="1"/>
  <c r="AF3" i="30" s="1"/>
  <c r="AX6" i="30" s="1"/>
  <c r="AE3" i="30" a="1"/>
  <c r="AE3" i="30" s="1"/>
  <c r="AW6" i="30" s="1"/>
  <c r="AD3" i="30" a="1"/>
  <c r="AD3" i="30" s="1"/>
  <c r="AV6" i="30" s="1"/>
  <c r="Z3" i="30" a="1"/>
  <c r="Z3" i="30" s="1"/>
  <c r="Z2" i="30" a="1"/>
  <c r="Z2" i="30" s="1"/>
  <c r="AJ2" i="30" a="1"/>
  <c r="AJ2" i="30" s="1"/>
  <c r="AI2" i="30" a="1"/>
  <c r="AI2" i="30" s="1"/>
  <c r="AA2" i="30" a="1"/>
  <c r="AA2" i="30" s="1"/>
  <c r="BH38" i="30"/>
  <c r="BG38" i="30"/>
  <c r="BF38" i="30"/>
  <c r="BE38" i="30"/>
  <c r="BD38" i="30"/>
  <c r="BC38" i="30"/>
  <c r="BH37" i="30"/>
  <c r="BG37" i="30"/>
  <c r="BF37" i="30"/>
  <c r="BE37" i="30"/>
  <c r="BD37" i="30"/>
  <c r="BC37" i="30"/>
  <c r="BH36" i="30"/>
  <c r="BG36" i="30"/>
  <c r="BF36" i="30"/>
  <c r="BE36" i="30"/>
  <c r="BD36" i="30"/>
  <c r="BC36" i="30"/>
  <c r="BH35" i="30"/>
  <c r="BG35" i="30"/>
  <c r="BF35" i="30"/>
  <c r="BE35" i="30"/>
  <c r="BD35" i="30"/>
  <c r="BC35" i="30"/>
  <c r="BH34" i="30"/>
  <c r="BG34" i="30"/>
  <c r="BF34" i="30"/>
  <c r="BE34" i="30"/>
  <c r="BD34" i="30"/>
  <c r="BC34" i="30"/>
  <c r="BH33" i="30"/>
  <c r="BG33" i="30"/>
  <c r="BF33" i="30"/>
  <c r="BE33" i="30"/>
  <c r="BD33" i="30"/>
  <c r="BC33" i="30"/>
  <c r="BH32" i="30"/>
  <c r="BG32" i="30"/>
  <c r="BF32" i="30"/>
  <c r="BE32" i="30"/>
  <c r="BD32" i="30"/>
  <c r="BC32" i="30"/>
  <c r="BH31" i="30"/>
  <c r="BG31" i="30"/>
  <c r="BF31" i="30"/>
  <c r="BE31" i="30"/>
  <c r="BD31" i="30"/>
  <c r="BC31" i="30"/>
  <c r="BH30" i="30"/>
  <c r="BG30" i="30"/>
  <c r="BF30" i="30"/>
  <c r="BE30" i="30"/>
  <c r="BD30" i="30"/>
  <c r="BC30" i="30"/>
  <c r="BH29" i="30"/>
  <c r="BG29" i="30"/>
  <c r="BF29" i="30"/>
  <c r="BE29" i="30"/>
  <c r="BD29" i="30"/>
  <c r="BC29" i="30"/>
  <c r="BH28" i="30"/>
  <c r="BG28" i="30"/>
  <c r="BF28" i="30"/>
  <c r="BE28" i="30"/>
  <c r="BD28" i="30"/>
  <c r="BC28" i="30"/>
  <c r="BH27" i="30"/>
  <c r="BG27" i="30"/>
  <c r="BF27" i="30"/>
  <c r="BE27" i="30"/>
  <c r="BD27" i="30"/>
  <c r="BC27" i="30"/>
  <c r="BH26" i="30"/>
  <c r="BG26" i="30"/>
  <c r="BF26" i="30"/>
  <c r="BE26" i="30"/>
  <c r="BD26" i="30"/>
  <c r="BC26" i="30"/>
  <c r="BH25" i="30"/>
  <c r="BG25" i="30"/>
  <c r="BF25" i="30"/>
  <c r="BE25" i="30"/>
  <c r="BD25" i="30"/>
  <c r="BC25" i="30"/>
  <c r="BH24" i="30"/>
  <c r="BG24" i="30"/>
  <c r="BF24" i="30"/>
  <c r="BE24" i="30"/>
  <c r="BD24" i="30"/>
  <c r="BC24" i="30"/>
  <c r="BH23" i="30"/>
  <c r="BG23" i="30"/>
  <c r="BF23" i="30"/>
  <c r="BE23" i="30"/>
  <c r="BD23" i="30"/>
  <c r="BC23" i="30"/>
  <c r="BH22" i="30"/>
  <c r="BG22" i="30"/>
  <c r="BF22" i="30"/>
  <c r="BE22" i="30"/>
  <c r="BD22" i="30"/>
  <c r="BC22" i="30"/>
  <c r="F50" i="30" a="1"/>
  <c r="F50" i="30" s="1"/>
  <c r="D2" i="30" l="1"/>
  <c r="H2" i="30"/>
  <c r="F2" i="30"/>
  <c r="J2" i="30"/>
  <c r="J50" i="30" a="1"/>
  <c r="J50" i="30" s="1"/>
  <c r="I50" i="30" a="1"/>
  <c r="I50" i="30" s="1"/>
  <c r="H50" i="30" a="1"/>
  <c r="H50" i="30" s="1"/>
  <c r="G50" i="30" a="1"/>
  <c r="G50" i="30" s="1"/>
  <c r="AC2" i="30" a="1"/>
  <c r="AC2" i="30" s="1"/>
  <c r="AU3" i="30" s="1"/>
  <c r="AN2" i="30" a="1"/>
  <c r="AN2" i="30" s="1"/>
  <c r="AW4" i="30" s="1"/>
  <c r="AD2" i="30" a="1"/>
  <c r="AD2" i="30" s="1"/>
  <c r="AV3" i="30" s="1"/>
  <c r="AO2" i="30" a="1"/>
  <c r="AO2" i="30" s="1"/>
  <c r="AX4" i="30" s="1"/>
  <c r="AG2" i="30" a="1"/>
  <c r="AG2" i="30" s="1"/>
  <c r="AY3" i="30" s="1"/>
  <c r="AM2" i="30" a="1"/>
  <c r="AM2" i="30" s="1"/>
  <c r="AV4" i="30" s="1"/>
  <c r="AK2" i="30" a="1"/>
  <c r="AK2" i="30" s="1"/>
  <c r="AT4" i="30" s="1"/>
  <c r="AL2" i="30" a="1"/>
  <c r="AL2" i="30" s="1"/>
  <c r="AU4" i="30" s="1"/>
  <c r="E50" i="30" a="1"/>
  <c r="E50" i="30" s="1"/>
  <c r="D50" i="30" a="1"/>
  <c r="D50" i="30" s="1"/>
  <c r="B50" i="30" a="1"/>
  <c r="B50" i="30" s="1"/>
  <c r="C50" i="30" a="1"/>
  <c r="C50" i="30" s="1"/>
  <c r="AE2" i="30" a="1"/>
  <c r="AE2" i="30" s="1"/>
  <c r="AW3" i="30" s="1"/>
  <c r="AP2" i="30" a="1"/>
  <c r="AP2" i="30" s="1"/>
  <c r="AY4" i="30" s="1"/>
  <c r="AF2" i="30" a="1"/>
  <c r="AF2" i="30" s="1"/>
  <c r="AX3" i="30" s="1"/>
  <c r="BK2" i="30" l="1"/>
  <c r="BM2" i="30"/>
  <c r="BN2" i="30"/>
  <c r="BE2" i="30"/>
  <c r="BT2" i="30"/>
  <c r="BF2" i="30"/>
  <c r="BU2" i="30"/>
  <c r="BJ2" i="30"/>
  <c r="BL2" i="30"/>
  <c r="AW65" i="54"/>
  <c r="BD65" i="54"/>
  <c r="BH65" i="54"/>
  <c r="BG65" i="54"/>
  <c r="AY65" i="54"/>
  <c r="BC65" i="54"/>
  <c r="AT65" i="54"/>
  <c r="AX65" i="54"/>
  <c r="BE65" i="54"/>
  <c r="AV65" i="54"/>
  <c r="BF65" i="54"/>
  <c r="AU65" i="54"/>
  <c r="BC77" i="54"/>
  <c r="AY67" i="54"/>
  <c r="AX67" i="54"/>
  <c r="AW68" i="54"/>
  <c r="AV69" i="54"/>
  <c r="AU70" i="54"/>
  <c r="BH71" i="54"/>
  <c r="BG72" i="54"/>
  <c r="BF73" i="54"/>
  <c r="BE74" i="54"/>
  <c r="BD75" i="54"/>
  <c r="BC76" i="54"/>
  <c r="BF74" i="54"/>
  <c r="BC73" i="54"/>
  <c r="BG73" i="54"/>
  <c r="AX66" i="54"/>
  <c r="BD73" i="54"/>
  <c r="AX64" i="54"/>
  <c r="BH67" i="54"/>
  <c r="BE70" i="54"/>
  <c r="BD71" i="54"/>
  <c r="BC72" i="54"/>
  <c r="AX68" i="54"/>
  <c r="BE73" i="54"/>
  <c r="BG69" i="54"/>
  <c r="AY78" i="54"/>
  <c r="BC71" i="54"/>
  <c r="BF72" i="54"/>
  <c r="BD72" i="54"/>
  <c r="BC70" i="54"/>
  <c r="AU71" i="54"/>
  <c r="BC75" i="54"/>
  <c r="AV67" i="54"/>
  <c r="BE71" i="54"/>
  <c r="AX63" i="54"/>
  <c r="AT76" i="54"/>
  <c r="BG67" i="54"/>
  <c r="AY76" i="54"/>
  <c r="AV63" i="54"/>
  <c r="BF67" i="54"/>
  <c r="AY75" i="54"/>
  <c r="AV78" i="54"/>
  <c r="AU63" i="54"/>
  <c r="BH64" i="54"/>
  <c r="BE67" i="54"/>
  <c r="BD68" i="54"/>
  <c r="BC69" i="54"/>
  <c r="AW69" i="54"/>
  <c r="AY66" i="54"/>
  <c r="AW67" i="54"/>
  <c r="AT63" i="54"/>
  <c r="BH69" i="54"/>
  <c r="AT78" i="54"/>
  <c r="AV66" i="54"/>
  <c r="AY77" i="54"/>
  <c r="BH66" i="54"/>
  <c r="AX77" i="54"/>
  <c r="AU64" i="54"/>
  <c r="BE68" i="54"/>
  <c r="AX76" i="54"/>
  <c r="BF66" i="54"/>
  <c r="AT73" i="54"/>
  <c r="AY74" i="54"/>
  <c r="AX75" i="54"/>
  <c r="AW76" i="54"/>
  <c r="AV77" i="54"/>
  <c r="AU78" i="54"/>
  <c r="BH63" i="54"/>
  <c r="BG64" i="54"/>
  <c r="BE66" i="54"/>
  <c r="BD67" i="54"/>
  <c r="BC68" i="54"/>
  <c r="AV70" i="54"/>
  <c r="AT64" i="54"/>
  <c r="BH70" i="54"/>
  <c r="BF71" i="54"/>
  <c r="BG68" i="54"/>
  <c r="AW63" i="54"/>
  <c r="AW78" i="54"/>
  <c r="BD69" i="54"/>
  <c r="AT74" i="54"/>
  <c r="AT72" i="54"/>
  <c r="AX74" i="54"/>
  <c r="AW75" i="54"/>
  <c r="AV76" i="54"/>
  <c r="AU77" i="54"/>
  <c r="BH78" i="54"/>
  <c r="BG63" i="54"/>
  <c r="BF64" i="54"/>
  <c r="BD66" i="54"/>
  <c r="BC67" i="54"/>
  <c r="BE75" i="54"/>
  <c r="BC74" i="54"/>
  <c r="AY63" i="54"/>
  <c r="BF69" i="54"/>
  <c r="AX78" i="54"/>
  <c r="AF4" i="54" s="1" a="1"/>
  <c r="AF4" i="54" s="1"/>
  <c r="AX9" i="54" s="1"/>
  <c r="AV64" i="54"/>
  <c r="AT75" i="54"/>
  <c r="BG66" i="54"/>
  <c r="AW77" i="54"/>
  <c r="AY73" i="54"/>
  <c r="AT71" i="54"/>
  <c r="AY72" i="54"/>
  <c r="AX73" i="54"/>
  <c r="AW74" i="54"/>
  <c r="AV75" i="54"/>
  <c r="AU76" i="54"/>
  <c r="BH77" i="54"/>
  <c r="BG78" i="54"/>
  <c r="AO4" i="54" s="1" a="1"/>
  <c r="AO4" i="54" s="1"/>
  <c r="AX10" i="54" s="1"/>
  <c r="BF63" i="54"/>
  <c r="BE64" i="54"/>
  <c r="BC66" i="54"/>
  <c r="BG71" i="54"/>
  <c r="AW66" i="54"/>
  <c r="AT66" i="54"/>
  <c r="BD74" i="54"/>
  <c r="AU68" i="54"/>
  <c r="BF70" i="54"/>
  <c r="BE69" i="54"/>
  <c r="AW73" i="54"/>
  <c r="AT69" i="54"/>
  <c r="AW72" i="54"/>
  <c r="BH75" i="54"/>
  <c r="BF77" i="54"/>
  <c r="BD63" i="54"/>
  <c r="BC64" i="54"/>
  <c r="BH72" i="54"/>
  <c r="AU69" i="54"/>
  <c r="BE72" i="54"/>
  <c r="AU67" i="54"/>
  <c r="AU66" i="54"/>
  <c r="BD70" i="54"/>
  <c r="AY71" i="54"/>
  <c r="AV74" i="54"/>
  <c r="BH76" i="54"/>
  <c r="BF78" i="54"/>
  <c r="AN4" i="54" s="1" a="1"/>
  <c r="AN4" i="54" s="1"/>
  <c r="AW10" i="54" s="1"/>
  <c r="BD64" i="54"/>
  <c r="AY70" i="54"/>
  <c r="AV73" i="54"/>
  <c r="AU74" i="54"/>
  <c r="BG76" i="54"/>
  <c r="AT68" i="54"/>
  <c r="AY69" i="54"/>
  <c r="AX70" i="54"/>
  <c r="AW71" i="54"/>
  <c r="AV72" i="54"/>
  <c r="AU73" i="54"/>
  <c r="BH74" i="54"/>
  <c r="BG75" i="54"/>
  <c r="BF76" i="54"/>
  <c r="BE77" i="54"/>
  <c r="BD78" i="54"/>
  <c r="BC63" i="54"/>
  <c r="BD76" i="54"/>
  <c r="AV68" i="54"/>
  <c r="AY64" i="54"/>
  <c r="BG70" i="54"/>
  <c r="BH68" i="54"/>
  <c r="AT77" i="54"/>
  <c r="AW64" i="54"/>
  <c r="BF68" i="54"/>
  <c r="AT70" i="54"/>
  <c r="AX72" i="54"/>
  <c r="AU75" i="54"/>
  <c r="BG77" i="54"/>
  <c r="BE63" i="54"/>
  <c r="AX71" i="54"/>
  <c r="BE78" i="54"/>
  <c r="AT67" i="54"/>
  <c r="AY68" i="54"/>
  <c r="AX69" i="54"/>
  <c r="AW70" i="54"/>
  <c r="AV71" i="54"/>
  <c r="AU72" i="54"/>
  <c r="BH73" i="54"/>
  <c r="BG74" i="54"/>
  <c r="BF75" i="54"/>
  <c r="BE76" i="54"/>
  <c r="BD77" i="54"/>
  <c r="BC78" i="54"/>
  <c r="AT62" i="54"/>
  <c r="AU62" i="54"/>
  <c r="AV62" i="54"/>
  <c r="AX62" i="54"/>
  <c r="AW62" i="54"/>
  <c r="BC62" i="54"/>
  <c r="BD62" i="54"/>
  <c r="BE62" i="54"/>
  <c r="BF62" i="54"/>
  <c r="AY62" i="54"/>
  <c r="BG62" i="54"/>
  <c r="BH62" i="54"/>
  <c r="AC4" i="54" l="1" a="1"/>
  <c r="AC4" i="54" s="1"/>
  <c r="AU9" i="54" s="1"/>
  <c r="AK4" i="54" a="1"/>
  <c r="AK4" i="54" s="1"/>
  <c r="AT10" i="54" s="1"/>
  <c r="AP4" i="54" a="1"/>
  <c r="AP4" i="54" s="1"/>
  <c r="AY10" i="54" s="1"/>
  <c r="AL4" i="54" a="1"/>
  <c r="AL4" i="54" s="1"/>
  <c r="AU10" i="54" s="1"/>
  <c r="AE4" i="54" a="1"/>
  <c r="AE4" i="54" s="1"/>
  <c r="AW9" i="54" s="1"/>
  <c r="AG4" i="54" a="1"/>
  <c r="AG4" i="54" s="1"/>
  <c r="AY9" i="54" s="1"/>
  <c r="AD4" i="54" a="1"/>
  <c r="AD4" i="54" s="1"/>
  <c r="AV9" i="54" s="1"/>
  <c r="AM4" i="54" a="1"/>
  <c r="AM4" i="54" s="1"/>
  <c r="AV10" i="54" s="1"/>
  <c r="AB4" i="54" a="1"/>
  <c r="AB4" i="54" s="1"/>
  <c r="AT9" i="54" s="1"/>
</calcChain>
</file>

<file path=xl/sharedStrings.xml><?xml version="1.0" encoding="utf-8"?>
<sst xmlns="http://schemas.openxmlformats.org/spreadsheetml/2006/main" count="3173" uniqueCount="148">
  <si>
    <t>013</t>
  </si>
  <si>
    <t>014</t>
  </si>
  <si>
    <t>053</t>
  </si>
  <si>
    <t>054</t>
  </si>
  <si>
    <t>070</t>
  </si>
  <si>
    <t>081</t>
  </si>
  <si>
    <t>082</t>
  </si>
  <si>
    <t>085</t>
  </si>
  <si>
    <t>091</t>
  </si>
  <si>
    <t>092</t>
  </si>
  <si>
    <t>095</t>
  </si>
  <si>
    <t>113</t>
  </si>
  <si>
    <t>114</t>
  </si>
  <si>
    <t>130</t>
  </si>
  <si>
    <t>140</t>
  </si>
  <si>
    <t>170</t>
  </si>
  <si>
    <t>Full Year</t>
  </si>
  <si>
    <t>YTD</t>
  </si>
  <si>
    <t>Districts</t>
  </si>
  <si>
    <t>Darker bars denote year to date values</t>
  </si>
  <si>
    <t>Name</t>
  </si>
  <si>
    <t>Unit</t>
  </si>
  <si>
    <t>Column2</t>
  </si>
  <si>
    <t>Bar tops in past years denote full year values</t>
  </si>
  <si>
    <t>Surface Patrol Hours Underway</t>
  </si>
  <si>
    <t>Vessel Safety Checks</t>
  </si>
  <si>
    <t>Click here to select district</t>
  </si>
  <si>
    <t>999</t>
  </si>
  <si>
    <t>999 ALL AUXILIARY</t>
  </si>
  <si>
    <t>ALL AUXILIARY</t>
  </si>
  <si>
    <t>Column1</t>
  </si>
  <si>
    <t>Use ctrl/shift/enter when editing and pasting bracketed formulae</t>
  </si>
  <si>
    <t>Cat #1</t>
  </si>
  <si>
    <t>Cat #2</t>
  </si>
  <si>
    <t>Cat #3</t>
  </si>
  <si>
    <t>Cat#4</t>
  </si>
  <si>
    <t>Header 1</t>
  </si>
  <si>
    <t>Air Patrol Hours Airborne</t>
  </si>
  <si>
    <t>Header 2</t>
  </si>
  <si>
    <t>Column3</t>
  </si>
  <si>
    <t>Column4</t>
  </si>
  <si>
    <t>Column5</t>
  </si>
  <si>
    <t>Column6</t>
  </si>
  <si>
    <t>Header 3</t>
  </si>
  <si>
    <t>Header 4</t>
  </si>
  <si>
    <t>Navaids Examined</t>
  </si>
  <si>
    <t>Marine Safety and MEP Hours</t>
  </si>
  <si>
    <t>District selected</t>
  </si>
  <si>
    <t>Paddlecraft Safety Checks</t>
  </si>
  <si>
    <t>RBS Visits</t>
  </si>
  <si>
    <t>PE Graduates</t>
  </si>
  <si>
    <t>to select district or All Auxiliary</t>
  </si>
  <si>
    <t>Left-click on the yellow box below</t>
  </si>
  <si>
    <t>Member Training</t>
  </si>
  <si>
    <t>Public Affairs</t>
  </si>
  <si>
    <t>USCG Recruiting</t>
  </si>
  <si>
    <t>Healthcare</t>
  </si>
  <si>
    <t>CG Ops Support</t>
  </si>
  <si>
    <t>CG Admin Support</t>
  </si>
  <si>
    <t>Surface Ops</t>
  </si>
  <si>
    <t>Culinary</t>
  </si>
  <si>
    <t>Clergy Support</t>
  </si>
  <si>
    <t>Member Training Hours</t>
  </si>
  <si>
    <t>Public Affairs Hours</t>
  </si>
  <si>
    <t>Ops Assistance to CG Hours</t>
  </si>
  <si>
    <t>Admin Assistance to CG Hours</t>
  </si>
  <si>
    <t>Culinary Assistance Hours</t>
  </si>
  <si>
    <t>Clergy Assistance Hours</t>
  </si>
  <si>
    <t>USCG Recruiting Hours</t>
  </si>
  <si>
    <t>Healthcare Hours</t>
  </si>
  <si>
    <t>DISTRICT TRENDS</t>
  </si>
  <si>
    <t>USE LUCI DISTRICT</t>
  </si>
  <si>
    <t>New Members YTD</t>
  </si>
  <si>
    <t>Membership</t>
  </si>
  <si>
    <t>New Members</t>
  </si>
  <si>
    <t>Membership Level This Month</t>
  </si>
  <si>
    <t>Delete Table</t>
  </si>
  <si>
    <t>for each year displayed.</t>
  </si>
  <si>
    <t>Current year data does not include work already</t>
  </si>
  <si>
    <t>performed but not yet entered into AUXDATA II</t>
  </si>
  <si>
    <r>
      <rPr>
        <b/>
        <i/>
        <sz val="12"/>
        <color theme="1"/>
        <rFont val="Calibri"/>
        <family val="2"/>
        <scheme val="minor"/>
      </rPr>
      <t>and</t>
    </r>
    <r>
      <rPr>
        <b/>
        <sz val="12"/>
        <color theme="1"/>
        <rFont val="Calibri"/>
        <family val="2"/>
        <scheme val="minor"/>
      </rPr>
      <t xml:space="preserve"> marked as Approved.</t>
    </r>
  </si>
  <si>
    <t>Voluntary Disenrollments YTD</t>
  </si>
  <si>
    <t>Voluntary DEs</t>
  </si>
  <si>
    <t>September</t>
  </si>
  <si>
    <t>Enter the preparation year</t>
  </si>
  <si>
    <t>If this report is prepared in late December,</t>
  </si>
  <si>
    <t>use the following year for the preparation year</t>
  </si>
  <si>
    <t>January</t>
  </si>
  <si>
    <t>Enter the number of the preparation month</t>
  </si>
  <si>
    <t>If this report is prepared late in the month,</t>
  </si>
  <si>
    <t>enter the value for the following month</t>
  </si>
  <si>
    <t>February</t>
  </si>
  <si>
    <t>March</t>
  </si>
  <si>
    <t>April</t>
  </si>
  <si>
    <t>May</t>
  </si>
  <si>
    <t>June</t>
  </si>
  <si>
    <t>July</t>
  </si>
  <si>
    <t>August</t>
  </si>
  <si>
    <t>October</t>
  </si>
  <si>
    <t>November</t>
  </si>
  <si>
    <t>December</t>
  </si>
  <si>
    <t>COPY FROM LUCI</t>
  </si>
  <si>
    <t>MEMBERSHIP_DATA TAB</t>
  </si>
  <si>
    <t>NEWBS_DATA TAB</t>
  </si>
  <si>
    <t>VSCs</t>
  </si>
  <si>
    <t>Paddlecraft</t>
  </si>
  <si>
    <t>Visits_Data TAB</t>
  </si>
  <si>
    <t>PE_Data TAB</t>
  </si>
  <si>
    <t>Boat_Data TAB</t>
  </si>
  <si>
    <t>VSC_Data TAB</t>
  </si>
  <si>
    <t>MT_DATA TAB</t>
  </si>
  <si>
    <t>AuxAir</t>
  </si>
  <si>
    <t>Marine Safety</t>
  </si>
  <si>
    <t>v2.1 2026 06 01</t>
  </si>
  <si>
    <t>013 NORTHEAST DISTRICT - NORTHERN REGION</t>
  </si>
  <si>
    <t>014 NORTHEAST DISTRICT - SOUTHERN REGION</t>
  </si>
  <si>
    <t>053 EAST DISTRICT - NORTHERN REGION</t>
  </si>
  <si>
    <t>054 EAST DISTRICT - SOUTHERN REGION</t>
  </si>
  <si>
    <t>070 SOUTHEAST DISTRICT</t>
  </si>
  <si>
    <t>081 HEARTLAND DISTRICT - COASTAL REGION</t>
  </si>
  <si>
    <t>082 HEARTLAND DISTRICT - EASTERN REGION</t>
  </si>
  <si>
    <t>085 HEARTLAND DISTRICT - WESTERN REGION</t>
  </si>
  <si>
    <t>091 GREAT LAKES DISTRICT - CENTRAL REGION</t>
  </si>
  <si>
    <t>092 GREAT LAKES DISTRICT - EASTERN REGION</t>
  </si>
  <si>
    <t>095 GREAT LAKES DISTRICT - WESTERN REGION</t>
  </si>
  <si>
    <t>113 SOUTHWEST DISTRICT - NORTHERN REGION</t>
  </si>
  <si>
    <t>114 SOUTHWEST DISTRICT - SOUTHERN REGION</t>
  </si>
  <si>
    <t>130 NORTHWEST DISTRICT</t>
  </si>
  <si>
    <t>140 OCEANIA DISTRICT</t>
  </si>
  <si>
    <t>170 ARCTIC DISTRICT</t>
  </si>
  <si>
    <t>NORTHEAST DISTRICT - SOUTHERN REGION</t>
  </si>
  <si>
    <t>NORTHEAST DISTRICT - NORTHERN REGION</t>
  </si>
  <si>
    <t>EAST DISTRICT - NORTHERN REGION</t>
  </si>
  <si>
    <t>EAST DISTRICT - SOUTHERN REGION</t>
  </si>
  <si>
    <t>SOUTHEAST DISTRICT</t>
  </si>
  <si>
    <t>HEARTLAND DISTRICT - COASTAL REGION</t>
  </si>
  <si>
    <t>HEARTLAND DISTRICT - EASTERN REGION</t>
  </si>
  <si>
    <t>HEARTLAND DISTRICT - WESTERN REGION</t>
  </si>
  <si>
    <t>GREAT LAKES DISTRICT - CENTRAL REGION</t>
  </si>
  <si>
    <t>GREAT LAKES DISTRICT - EASTERN REGION</t>
  </si>
  <si>
    <t>GREAT LAKES DISTRICT - WESTERN REGION</t>
  </si>
  <si>
    <t>SOUTHWEST DISTRICT - NORTHERN REGION</t>
  </si>
  <si>
    <t>SOUTHWEST DISTRICT - SOUTHERN REGION</t>
  </si>
  <si>
    <t>NORTHWEST DISTRICT</t>
  </si>
  <si>
    <t>OCEANIA DISTRICT</t>
  </si>
  <si>
    <t>ARCTIC DISTRICT</t>
  </si>
  <si>
    <t>Unit #</t>
  </si>
  <si>
    <t>District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</si>
</sst>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24"/>
      <color rgb="FFC00000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rgb="FFC00000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name val="Calibri"/>
      <family val="2"/>
      <scheme val="minor"/>
    </font>
    <font>
      <b/>
      <sz val="28"/>
      <color rgb="FF0033CC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4"/>
      <color rgb="FF0033CC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4"/>
      <color rgb="FF0033CC"/>
      <name val="Calibri"/>
      <family val="2"/>
      <scheme val="minor"/>
    </font>
    <font>
      <b/>
      <sz val="18"/>
      <color rgb="FFC00000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EBE60C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theme="0" tint="-4.9989318521683403E-2"/>
        <bgColor indexed="64"/>
      </patternFill>
    </fill>
  </fills>
  <borders count="18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ck">
        <color theme="2" tint="-0.24994659260841701"/>
      </left>
      <right style="thick">
        <color theme="2" tint="-0.24994659260841701"/>
      </right>
      <top style="thick">
        <color theme="2" tint="-0.24994659260841701"/>
      </top>
      <bottom style="thick">
        <color theme="2" tint="-0.2499465926084170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80">
    <xf numFmtId="0" fontId="0" fillId="0" borderId="0" xfId="0"/>
    <xf numFmtId="0" fontId="0" fillId="2" borderId="0" xfId="0" applyFill="1"/>
    <xf numFmtId="0" fontId="1" fillId="3" borderId="0" xfId="0" applyFont="1" applyFill="1"/>
    <xf numFmtId="0" fontId="0" fillId="4" borderId="0" xfId="0" applyFill="1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1" fillId="5" borderId="0" xfId="0" applyFont="1" applyFill="1"/>
    <xf numFmtId="0" fontId="5" fillId="0" borderId="2" xfId="0" applyFont="1" applyBorder="1"/>
    <xf numFmtId="0" fontId="5" fillId="0" borderId="0" xfId="0" applyFont="1"/>
    <xf numFmtId="0" fontId="0" fillId="0" borderId="6" xfId="0" applyBorder="1"/>
    <xf numFmtId="0" fontId="1" fillId="6" borderId="0" xfId="0" applyFont="1" applyFill="1"/>
    <xf numFmtId="1" fontId="0" fillId="6" borderId="0" xfId="0" applyNumberFormat="1" applyFill="1"/>
    <xf numFmtId="0" fontId="0" fillId="6" borderId="0" xfId="0" applyFill="1"/>
    <xf numFmtId="0" fontId="0" fillId="6" borderId="0" xfId="0" quotePrefix="1" applyFill="1"/>
    <xf numFmtId="1" fontId="0" fillId="2" borderId="0" xfId="0" applyNumberFormat="1" applyFill="1"/>
    <xf numFmtId="1" fontId="0" fillId="0" borderId="0" xfId="0" applyNumberFormat="1"/>
    <xf numFmtId="1" fontId="1" fillId="4" borderId="0" xfId="0" applyNumberFormat="1" applyFont="1" applyFill="1"/>
    <xf numFmtId="0" fontId="0" fillId="2" borderId="6" xfId="0" applyFill="1" applyBorder="1"/>
    <xf numFmtId="0" fontId="0" fillId="2" borderId="7" xfId="0" applyFill="1" applyBorder="1"/>
    <xf numFmtId="0" fontId="0" fillId="7" borderId="0" xfId="0" applyFill="1"/>
    <xf numFmtId="0" fontId="3" fillId="10" borderId="8" xfId="0" applyFont="1" applyFill="1" applyBorder="1" applyAlignment="1">
      <alignment horizontal="center"/>
    </xf>
    <xf numFmtId="0" fontId="1" fillId="12" borderId="0" xfId="0" applyFont="1" applyFill="1"/>
    <xf numFmtId="0" fontId="0" fillId="12" borderId="0" xfId="0" applyFill="1"/>
    <xf numFmtId="0" fontId="0" fillId="3" borderId="0" xfId="0" applyFill="1"/>
    <xf numFmtId="1" fontId="1" fillId="9" borderId="0" xfId="0" applyNumberFormat="1" applyFont="1" applyFill="1"/>
    <xf numFmtId="1" fontId="1" fillId="3" borderId="0" xfId="0" applyNumberFormat="1" applyFont="1" applyFill="1"/>
    <xf numFmtId="1" fontId="0" fillId="12" borderId="0" xfId="0" applyNumberFormat="1" applyFill="1"/>
    <xf numFmtId="1" fontId="0" fillId="3" borderId="0" xfId="0" applyNumberFormat="1" applyFill="1"/>
    <xf numFmtId="0" fontId="0" fillId="5" borderId="0" xfId="0" quotePrefix="1" applyFill="1"/>
    <xf numFmtId="0" fontId="3" fillId="11" borderId="8" xfId="0" applyFont="1" applyFill="1" applyBorder="1" applyAlignment="1">
      <alignment horizontal="center"/>
    </xf>
    <xf numFmtId="0" fontId="1" fillId="13" borderId="0" xfId="0" applyFont="1" applyFill="1"/>
    <xf numFmtId="0" fontId="3" fillId="9" borderId="8" xfId="0" applyFont="1" applyFill="1" applyBorder="1" applyAlignment="1">
      <alignment horizontal="center"/>
    </xf>
    <xf numFmtId="0" fontId="0" fillId="3" borderId="0" xfId="0" quotePrefix="1" applyFill="1"/>
    <xf numFmtId="0" fontId="3" fillId="8" borderId="8" xfId="0" applyFont="1" applyFill="1" applyBorder="1" applyAlignment="1">
      <alignment horizontal="center"/>
    </xf>
    <xf numFmtId="1" fontId="9" fillId="6" borderId="0" xfId="0" applyNumberFormat="1" applyFont="1" applyFill="1"/>
    <xf numFmtId="0" fontId="5" fillId="7" borderId="0" xfId="0" applyFont="1" applyFill="1"/>
    <xf numFmtId="0" fontId="10" fillId="5" borderId="0" xfId="0" quotePrefix="1" applyFont="1" applyFill="1"/>
    <xf numFmtId="0" fontId="10" fillId="5" borderId="0" xfId="0" applyFont="1" applyFill="1" applyAlignment="1">
      <alignment vertical="center"/>
    </xf>
    <xf numFmtId="1" fontId="10" fillId="5" borderId="0" xfId="0" applyNumberFormat="1" applyFont="1" applyFill="1"/>
    <xf numFmtId="1" fontId="0" fillId="2" borderId="0" xfId="0" applyNumberFormat="1" applyFill="1" applyAlignment="1">
      <alignment horizontal="center"/>
    </xf>
    <xf numFmtId="0" fontId="10" fillId="6" borderId="0" xfId="0" quotePrefix="1" applyFont="1" applyFill="1"/>
    <xf numFmtId="1" fontId="10" fillId="6" borderId="0" xfId="0" applyNumberFormat="1" applyFont="1" applyFill="1"/>
    <xf numFmtId="1" fontId="6" fillId="0" borderId="0" xfId="0" applyNumberFormat="1" applyFont="1"/>
    <xf numFmtId="17" fontId="8" fillId="0" borderId="4" xfId="0" quotePrefix="1" applyNumberFormat="1" applyFont="1" applyBorder="1" applyAlignment="1">
      <alignment horizontal="center" vertical="center"/>
    </xf>
    <xf numFmtId="0" fontId="0" fillId="12" borderId="0" xfId="0" quotePrefix="1" applyFill="1"/>
    <xf numFmtId="0" fontId="3" fillId="0" borderId="2" xfId="0" applyFont="1" applyBorder="1" applyAlignment="1">
      <alignment horizontal="right"/>
    </xf>
    <xf numFmtId="0" fontId="2" fillId="0" borderId="1" xfId="0" applyFont="1" applyBorder="1" applyAlignment="1">
      <alignment horizontal="center"/>
    </xf>
    <xf numFmtId="0" fontId="0" fillId="0" borderId="1" xfId="0" applyBorder="1" applyProtection="1">
      <protection locked="0"/>
    </xf>
    <xf numFmtId="0" fontId="1" fillId="6" borderId="0" xfId="0" applyFont="1" applyFill="1" applyProtection="1">
      <protection locked="0"/>
    </xf>
    <xf numFmtId="0" fontId="0" fillId="6" borderId="0" xfId="0" applyFill="1" applyProtection="1">
      <protection locked="0"/>
    </xf>
    <xf numFmtId="0" fontId="0" fillId="0" borderId="3" xfId="0" applyBorder="1" applyProtection="1">
      <protection locked="0"/>
    </xf>
    <xf numFmtId="0" fontId="4" fillId="0" borderId="1" xfId="0" applyFont="1" applyBorder="1"/>
    <xf numFmtId="0" fontId="13" fillId="4" borderId="14" xfId="0" applyFont="1" applyFill="1" applyBorder="1" applyAlignment="1" applyProtection="1">
      <alignment horizontal="center" vertical="center"/>
      <protection locked="0"/>
    </xf>
    <xf numFmtId="0" fontId="3" fillId="14" borderId="8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1" fontId="0" fillId="5" borderId="0" xfId="0" quotePrefix="1" applyNumberFormat="1" applyFill="1"/>
    <xf numFmtId="0" fontId="12" fillId="0" borderId="0" xfId="0" applyFont="1"/>
    <xf numFmtId="0" fontId="0" fillId="0" borderId="0" xfId="0" applyAlignment="1">
      <alignment horizontal="center"/>
    </xf>
    <xf numFmtId="0" fontId="3" fillId="15" borderId="8" xfId="0" applyFont="1" applyFill="1" applyBorder="1" applyAlignment="1">
      <alignment horizontal="center"/>
    </xf>
    <xf numFmtId="17" fontId="16" fillId="0" borderId="1" xfId="0" applyNumberFormat="1" applyFont="1" applyBorder="1" applyAlignment="1">
      <alignment horizontal="center"/>
    </xf>
    <xf numFmtId="0" fontId="3" fillId="16" borderId="8" xfId="0" applyFont="1" applyFill="1" applyBorder="1" applyAlignment="1">
      <alignment horizontal="center"/>
    </xf>
    <xf numFmtId="0" fontId="3" fillId="17" borderId="8" xfId="0" applyFont="1" applyFill="1" applyBorder="1" applyAlignment="1">
      <alignment horizontal="center"/>
    </xf>
    <xf numFmtId="0" fontId="3" fillId="18" borderId="8" xfId="0" applyFont="1" applyFill="1" applyBorder="1" applyAlignment="1">
      <alignment horizontal="center"/>
    </xf>
    <xf numFmtId="0" fontId="1" fillId="16" borderId="0" xfId="0" applyFont="1" applyFill="1"/>
    <xf numFmtId="0" fontId="0" fillId="16" borderId="0" xfId="0" quotePrefix="1" applyFill="1"/>
    <xf numFmtId="1" fontId="0" fillId="16" borderId="0" xfId="0" applyNumberFormat="1" applyFill="1"/>
    <xf numFmtId="0" fontId="0" fillId="16" borderId="0" xfId="0" applyFill="1"/>
    <xf numFmtId="1" fontId="1" fillId="16" borderId="0" xfId="0" applyNumberFormat="1" applyFont="1" applyFill="1"/>
    <xf numFmtId="1" fontId="1" fillId="19" borderId="0" xfId="0" applyNumberFormat="1" applyFont="1" applyFill="1"/>
    <xf numFmtId="0" fontId="1" fillId="2" borderId="0" xfId="0" applyFont="1" applyFill="1"/>
    <xf numFmtId="1" fontId="1" fillId="20" borderId="0" xfId="0" applyNumberFormat="1" applyFont="1" applyFill="1"/>
    <xf numFmtId="0" fontId="1" fillId="8" borderId="0" xfId="0" applyFont="1" applyFill="1"/>
    <xf numFmtId="0" fontId="0" fillId="8" borderId="0" xfId="0" quotePrefix="1" applyFill="1"/>
    <xf numFmtId="1" fontId="0" fillId="8" borderId="0" xfId="0" applyNumberFormat="1" applyFill="1"/>
    <xf numFmtId="0" fontId="0" fillId="8" borderId="0" xfId="0" applyFill="1"/>
    <xf numFmtId="1" fontId="1" fillId="8" borderId="0" xfId="0" applyNumberFormat="1" applyFont="1" applyFill="1"/>
    <xf numFmtId="1" fontId="1" fillId="21" borderId="0" xfId="0" applyNumberFormat="1" applyFont="1" applyFill="1"/>
    <xf numFmtId="0" fontId="1" fillId="15" borderId="0" xfId="0" applyFont="1" applyFill="1"/>
    <xf numFmtId="0" fontId="0" fillId="15" borderId="0" xfId="0" quotePrefix="1" applyFill="1"/>
    <xf numFmtId="1" fontId="0" fillId="15" borderId="0" xfId="0" applyNumberFormat="1" applyFill="1"/>
    <xf numFmtId="0" fontId="0" fillId="15" borderId="0" xfId="0" applyFill="1"/>
    <xf numFmtId="0" fontId="1" fillId="22" borderId="0" xfId="0" applyFont="1" applyFill="1"/>
    <xf numFmtId="0" fontId="0" fillId="22" borderId="0" xfId="0" quotePrefix="1" applyFill="1"/>
    <xf numFmtId="1" fontId="0" fillId="22" borderId="0" xfId="0" applyNumberFormat="1" applyFill="1"/>
    <xf numFmtId="0" fontId="0" fillId="22" borderId="0" xfId="0" applyFill="1"/>
    <xf numFmtId="0" fontId="17" fillId="23" borderId="0" xfId="0" applyFont="1" applyFill="1"/>
    <xf numFmtId="0" fontId="18" fillId="23" borderId="0" xfId="0" quotePrefix="1" applyFont="1" applyFill="1"/>
    <xf numFmtId="1" fontId="18" fillId="23" borderId="0" xfId="0" applyNumberFormat="1" applyFont="1" applyFill="1"/>
    <xf numFmtId="0" fontId="18" fillId="23" borderId="0" xfId="0" applyFont="1" applyFill="1"/>
    <xf numFmtId="1" fontId="17" fillId="8" borderId="0" xfId="0" applyNumberFormat="1" applyFont="1" applyFill="1"/>
    <xf numFmtId="0" fontId="1" fillId="23" borderId="0" xfId="0" applyFont="1" applyFill="1"/>
    <xf numFmtId="0" fontId="0" fillId="23" borderId="0" xfId="0" quotePrefix="1" applyFill="1"/>
    <xf numFmtId="1" fontId="0" fillId="23" borderId="0" xfId="0" applyNumberFormat="1" applyFill="1"/>
    <xf numFmtId="0" fontId="0" fillId="23" borderId="0" xfId="0" applyFill="1"/>
    <xf numFmtId="0" fontId="3" fillId="24" borderId="8" xfId="0" applyFont="1" applyFill="1" applyBorder="1" applyAlignment="1">
      <alignment horizontal="center"/>
    </xf>
    <xf numFmtId="0" fontId="1" fillId="25" borderId="0" xfId="0" applyFont="1" applyFill="1"/>
    <xf numFmtId="0" fontId="0" fillId="25" borderId="0" xfId="0" quotePrefix="1" applyFill="1"/>
    <xf numFmtId="1" fontId="0" fillId="25" borderId="0" xfId="0" applyNumberFormat="1" applyFill="1"/>
    <xf numFmtId="0" fontId="0" fillId="25" borderId="0" xfId="0" applyFill="1"/>
    <xf numFmtId="0" fontId="1" fillId="18" borderId="0" xfId="0" applyFont="1" applyFill="1"/>
    <xf numFmtId="0" fontId="0" fillId="18" borderId="0" xfId="0" quotePrefix="1" applyFill="1"/>
    <xf numFmtId="1" fontId="0" fillId="18" borderId="0" xfId="0" applyNumberFormat="1" applyFill="1"/>
    <xf numFmtId="0" fontId="0" fillId="18" borderId="0" xfId="0" applyFill="1"/>
    <xf numFmtId="1" fontId="1" fillId="26" borderId="0" xfId="0" applyNumberFormat="1" applyFont="1" applyFill="1"/>
    <xf numFmtId="0" fontId="1" fillId="27" borderId="0" xfId="0" applyFont="1" applyFill="1"/>
    <xf numFmtId="0" fontId="0" fillId="27" borderId="0" xfId="0" quotePrefix="1" applyFill="1"/>
    <xf numFmtId="1" fontId="0" fillId="27" borderId="0" xfId="0" applyNumberFormat="1" applyFill="1"/>
    <xf numFmtId="0" fontId="0" fillId="27" borderId="0" xfId="0" applyFill="1"/>
    <xf numFmtId="1" fontId="1" fillId="24" borderId="0" xfId="0" applyNumberFormat="1" applyFont="1" applyFill="1"/>
    <xf numFmtId="0" fontId="1" fillId="0" borderId="1" xfId="0" applyFont="1" applyBorder="1" applyAlignment="1">
      <alignment horizontal="center"/>
    </xf>
    <xf numFmtId="17" fontId="8" fillId="0" borderId="1" xfId="0" applyNumberFormat="1" applyFont="1" applyBorder="1" applyAlignment="1">
      <alignment horizontal="center"/>
    </xf>
    <xf numFmtId="17" fontId="19" fillId="0" borderId="1" xfId="0" applyNumberFormat="1" applyFont="1" applyBorder="1" applyAlignment="1">
      <alignment horizontal="center"/>
    </xf>
    <xf numFmtId="0" fontId="1" fillId="28" borderId="0" xfId="0" applyFont="1" applyFill="1"/>
    <xf numFmtId="0" fontId="0" fillId="28" borderId="0" xfId="0" quotePrefix="1" applyFill="1"/>
    <xf numFmtId="1" fontId="9" fillId="28" borderId="0" xfId="0" applyNumberFormat="1" applyFont="1" applyFill="1"/>
    <xf numFmtId="0" fontId="0" fillId="28" borderId="0" xfId="0" applyFill="1"/>
    <xf numFmtId="0" fontId="3" fillId="6" borderId="8" xfId="0" applyFont="1" applyFill="1" applyBorder="1" applyAlignment="1">
      <alignment horizontal="center"/>
    </xf>
    <xf numFmtId="1" fontId="0" fillId="28" borderId="0" xfId="0" quotePrefix="1" applyNumberFormat="1" applyFill="1"/>
    <xf numFmtId="0" fontId="10" fillId="28" borderId="0" xfId="0" quotePrefix="1" applyFont="1" applyFill="1"/>
    <xf numFmtId="0" fontId="10" fillId="28" borderId="0" xfId="0" applyFont="1" applyFill="1" applyAlignment="1">
      <alignment vertical="center"/>
    </xf>
    <xf numFmtId="1" fontId="10" fillId="28" borderId="0" xfId="0" applyNumberFormat="1" applyFont="1" applyFill="1"/>
    <xf numFmtId="0" fontId="12" fillId="0" borderId="1" xfId="0" applyFont="1" applyBorder="1" applyAlignment="1">
      <alignment horizontal="center"/>
    </xf>
    <xf numFmtId="0" fontId="7" fillId="4" borderId="16" xfId="0" applyFont="1" applyFill="1" applyBorder="1" applyAlignment="1" applyProtection="1">
      <alignment horizontal="center"/>
      <protection locked="0"/>
    </xf>
    <xf numFmtId="0" fontId="2" fillId="0" borderId="0" xfId="0" applyFont="1"/>
    <xf numFmtId="1" fontId="0" fillId="9" borderId="0" xfId="0" quotePrefix="1" applyNumberFormat="1" applyFill="1"/>
    <xf numFmtId="1" fontId="0" fillId="9" borderId="0" xfId="0" applyNumberFormat="1" applyFill="1"/>
    <xf numFmtId="0" fontId="0" fillId="9" borderId="0" xfId="0" applyFill="1"/>
    <xf numFmtId="0" fontId="1" fillId="29" borderId="0" xfId="0" applyFont="1" applyFill="1"/>
    <xf numFmtId="0" fontId="0" fillId="29" borderId="0" xfId="0" quotePrefix="1" applyFill="1"/>
    <xf numFmtId="1" fontId="0" fillId="29" borderId="0" xfId="0" applyNumberFormat="1" applyFill="1"/>
    <xf numFmtId="0" fontId="0" fillId="29" borderId="0" xfId="0" applyFill="1"/>
    <xf numFmtId="1" fontId="1" fillId="29" borderId="0" xfId="0" applyNumberFormat="1" applyFont="1" applyFill="1"/>
    <xf numFmtId="1" fontId="1" fillId="12" borderId="0" xfId="0" applyNumberFormat="1" applyFont="1" applyFill="1"/>
    <xf numFmtId="1" fontId="0" fillId="12" borderId="0" xfId="0" quotePrefix="1" applyNumberFormat="1" applyFill="1"/>
    <xf numFmtId="1" fontId="1" fillId="15" borderId="0" xfId="0" applyNumberFormat="1" applyFont="1" applyFill="1"/>
    <xf numFmtId="0" fontId="0" fillId="30" borderId="0" xfId="0" applyFill="1"/>
    <xf numFmtId="0" fontId="1" fillId="30" borderId="0" xfId="0" applyFont="1" applyFill="1" applyAlignment="1">
      <alignment horizontal="center"/>
    </xf>
    <xf numFmtId="0" fontId="1" fillId="12" borderId="0" xfId="0" applyFont="1" applyFill="1" applyAlignment="1">
      <alignment horizontal="center"/>
    </xf>
    <xf numFmtId="0" fontId="1" fillId="9" borderId="0" xfId="0" applyFont="1" applyFill="1" applyAlignment="1">
      <alignment horizontal="center"/>
    </xf>
    <xf numFmtId="0" fontId="0" fillId="12" borderId="12" xfId="0" applyFill="1" applyBorder="1" applyAlignment="1">
      <alignment horizontal="center"/>
    </xf>
    <xf numFmtId="0" fontId="0" fillId="12" borderId="17" xfId="0" applyFill="1" applyBorder="1" applyAlignment="1">
      <alignment horizontal="center"/>
    </xf>
    <xf numFmtId="0" fontId="0" fillId="12" borderId="13" xfId="0" applyFill="1" applyBorder="1" applyAlignment="1">
      <alignment horizontal="center"/>
    </xf>
    <xf numFmtId="0" fontId="0" fillId="10" borderId="0" xfId="0" applyFill="1"/>
    <xf numFmtId="0" fontId="1" fillId="10" borderId="0" xfId="0" applyFont="1" applyFill="1" applyAlignment="1">
      <alignment horizontal="center"/>
    </xf>
    <xf numFmtId="0" fontId="0" fillId="5" borderId="0" xfId="0" applyFill="1"/>
    <xf numFmtId="0" fontId="1" fillId="5" borderId="0" xfId="0" applyFont="1" applyFill="1" applyAlignment="1">
      <alignment horizontal="center"/>
    </xf>
    <xf numFmtId="0" fontId="0" fillId="11" borderId="0" xfId="0" applyFill="1"/>
    <xf numFmtId="0" fontId="1" fillId="11" borderId="0" xfId="0" applyFont="1" applyFill="1" applyAlignment="1">
      <alignment horizontal="center"/>
    </xf>
    <xf numFmtId="0" fontId="1" fillId="29" borderId="0" xfId="0" applyFont="1" applyFill="1" applyAlignment="1">
      <alignment horizontal="center"/>
    </xf>
    <xf numFmtId="0" fontId="0" fillId="17" borderId="0" xfId="0" applyFill="1"/>
    <xf numFmtId="0" fontId="0" fillId="31" borderId="0" xfId="0" applyFill="1"/>
    <xf numFmtId="0" fontId="15" fillId="30" borderId="0" xfId="0" applyFont="1" applyFill="1" applyAlignment="1">
      <alignment horizontal="center"/>
    </xf>
    <xf numFmtId="0" fontId="0" fillId="32" borderId="0" xfId="0" applyFill="1"/>
    <xf numFmtId="0" fontId="15" fillId="32" borderId="0" xfId="0" applyFont="1" applyFill="1" applyAlignment="1">
      <alignment horizontal="center"/>
    </xf>
    <xf numFmtId="0" fontId="15" fillId="33" borderId="0" xfId="0" applyFont="1" applyFill="1"/>
    <xf numFmtId="0" fontId="0" fillId="33" borderId="0" xfId="0" applyFill="1"/>
    <xf numFmtId="0" fontId="3" fillId="30" borderId="8" xfId="0" applyFont="1" applyFill="1" applyBorder="1" applyAlignment="1">
      <alignment horizontal="center"/>
    </xf>
    <xf numFmtId="0" fontId="4" fillId="12" borderId="12" xfId="0" applyFont="1" applyFill="1" applyBorder="1" applyAlignment="1">
      <alignment horizontal="center" vertical="center"/>
    </xf>
    <xf numFmtId="0" fontId="4" fillId="12" borderId="13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5" fillId="4" borderId="12" xfId="0" applyFont="1" applyFill="1" applyBorder="1" applyAlignment="1">
      <alignment horizontal="center" vertical="center"/>
    </xf>
    <xf numFmtId="0" fontId="15" fillId="4" borderId="13" xfId="0" applyFont="1" applyFill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20" fillId="0" borderId="10" xfId="0" applyFont="1" applyBorder="1" applyAlignment="1">
      <alignment horizontal="left" vertical="center"/>
    </xf>
    <xf numFmtId="0" fontId="20" fillId="0" borderId="6" xfId="0" applyFont="1" applyBorder="1" applyAlignment="1">
      <alignment horizontal="left" vertical="center"/>
    </xf>
    <xf numFmtId="0" fontId="20" fillId="0" borderId="11" xfId="0" applyFont="1" applyBorder="1" applyAlignment="1">
      <alignment horizontal="left" vertical="center"/>
    </xf>
    <xf numFmtId="0" fontId="20" fillId="0" borderId="9" xfId="0" applyFont="1" applyBorder="1" applyAlignment="1">
      <alignment horizontal="left" vertical="center"/>
    </xf>
    <xf numFmtId="17" fontId="14" fillId="0" borderId="4" xfId="0" quotePrefix="1" applyNumberFormat="1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5" fillId="29" borderId="0" xfId="0" applyFont="1" applyFill="1" applyAlignment="1">
      <alignment horizontal="center" vertical="center"/>
    </xf>
    <xf numFmtId="0" fontId="15" fillId="11" borderId="0" xfId="0" applyFont="1" applyFill="1" applyAlignment="1">
      <alignment horizontal="center" vertical="center"/>
    </xf>
    <xf numFmtId="0" fontId="15" fillId="9" borderId="0" xfId="0" applyFont="1" applyFill="1" applyAlignment="1">
      <alignment horizontal="center" vertical="center"/>
    </xf>
    <xf numFmtId="0" fontId="15" fillId="5" borderId="0" xfId="0" applyFont="1" applyFill="1" applyAlignment="1">
      <alignment horizontal="center" vertical="center"/>
    </xf>
    <xf numFmtId="0" fontId="15" fillId="10" borderId="0" xfId="0" applyFont="1" applyFill="1" applyAlignment="1">
      <alignment horizontal="center" vertical="center"/>
    </xf>
    <xf numFmtId="0" fontId="15" fillId="30" borderId="0" xfId="0" applyFont="1" applyFill="1" applyAlignment="1">
      <alignment horizontal="center" vertical="center"/>
    </xf>
    <xf numFmtId="0" fontId="15" fillId="31" borderId="0" xfId="0" applyFont="1" applyFill="1" applyAlignment="1">
      <alignment horizontal="center" vertical="center"/>
    </xf>
    <xf numFmtId="0" fontId="15" fillId="17" borderId="0" xfId="0" applyFont="1" applyFill="1" applyAlignment="1">
      <alignment horizontal="center" vertical="center"/>
    </xf>
    <xf numFmtId="0" fontId="15" fillId="12" borderId="0" xfId="0" applyFont="1" applyFill="1" applyAlignment="1">
      <alignment horizontal="center" vertical="center"/>
    </xf>
  </cellXfs>
  <cellStyles count="1">
    <cellStyle name="Normal" xfId="0" builtinId="0"/>
  </cellStyles>
  <dxfs count="40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scheme val="minor"/>
      </font>
      <numFmt numFmtId="1" formatCode="0"/>
      <fill>
        <patternFill patternType="solid">
          <fgColor indexed="64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scheme val="minor"/>
      </font>
      <numFmt numFmtId="1" formatCode="0"/>
      <fill>
        <patternFill patternType="solid">
          <fgColor indexed="64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scheme val="minor"/>
      </font>
      <numFmt numFmtId="1" formatCode="0"/>
      <fill>
        <patternFill patternType="solid">
          <fgColor indexed="64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scheme val="minor"/>
      </font>
      <numFmt numFmtId="1" formatCode="0"/>
      <fill>
        <patternFill patternType="solid">
          <fgColor indexed="64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scheme val="minor"/>
      </font>
      <numFmt numFmtId="1" formatCode="0"/>
      <fill>
        <patternFill patternType="solid">
          <fgColor indexed="64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scheme val="minor"/>
      </font>
      <numFmt numFmtId="1" formatCode="0"/>
      <fill>
        <patternFill patternType="solid">
          <fgColor indexed="64"/>
          <bgColor theme="0" tint="-0.249977111117893"/>
        </patternFill>
      </fill>
    </dxf>
    <dxf>
      <fill>
        <patternFill patternType="solid">
          <fgColor indexed="64"/>
          <bgColor theme="0" tint="-0.249977111117893"/>
        </patternFill>
      </fill>
    </dxf>
    <dxf>
      <fill>
        <patternFill patternType="solid">
          <fgColor indexed="64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scheme val="none"/>
      </font>
      <fill>
        <patternFill patternType="solid">
          <fgColor indexed="64"/>
          <bgColor theme="0" tint="-0.249977111117893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scheme val="minor"/>
      </font>
      <numFmt numFmtId="1" formatCode="0"/>
      <fill>
        <patternFill patternType="solid">
          <fgColor indexed="64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scheme val="minor"/>
      </font>
      <numFmt numFmtId="1" formatCode="0"/>
      <fill>
        <patternFill patternType="solid">
          <fgColor indexed="64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scheme val="minor"/>
      </font>
      <numFmt numFmtId="1" formatCode="0"/>
      <fill>
        <patternFill patternType="solid">
          <fgColor indexed="64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scheme val="minor"/>
      </font>
      <numFmt numFmtId="1" formatCode="0"/>
      <fill>
        <patternFill patternType="solid">
          <fgColor indexed="64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scheme val="minor"/>
      </font>
      <numFmt numFmtId="1" formatCode="0"/>
      <fill>
        <patternFill patternType="solid">
          <fgColor indexed="64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scheme val="minor"/>
      </font>
      <numFmt numFmtId="1" formatCode="0"/>
      <fill>
        <patternFill patternType="solid">
          <fgColor indexed="64"/>
          <bgColor theme="0" tint="-0.249977111117893"/>
        </patternFill>
      </fill>
    </dxf>
    <dxf>
      <fill>
        <patternFill patternType="solid">
          <fgColor indexed="64"/>
          <bgColor theme="0" tint="-0.249977111117893"/>
        </patternFill>
      </fill>
    </dxf>
    <dxf>
      <fill>
        <patternFill patternType="solid">
          <fgColor indexed="64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scheme val="none"/>
      </font>
      <fill>
        <patternFill patternType="solid">
          <fgColor indexed="64"/>
          <bgColor theme="0" tint="-0.249977111117893"/>
        </patternFill>
      </fill>
    </dxf>
    <dxf>
      <fill>
        <patternFill patternType="solid">
          <fgColor indexed="64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scheme val="minor"/>
      </font>
      <numFmt numFmtId="1" formatCode="0"/>
      <fill>
        <patternFill patternType="solid">
          <fgColor indexed="64"/>
          <bgColor rgb="FFFFC0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scheme val="minor"/>
      </font>
      <numFmt numFmtId="1" formatCode="0"/>
      <fill>
        <patternFill patternType="solid">
          <fgColor indexed="64"/>
          <bgColor rgb="FFFFC0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scheme val="minor"/>
      </font>
      <numFmt numFmtId="1" formatCode="0"/>
      <fill>
        <patternFill patternType="solid">
          <fgColor indexed="64"/>
          <bgColor rgb="FFFFC0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scheme val="minor"/>
      </font>
      <numFmt numFmtId="1" formatCode="0"/>
      <fill>
        <patternFill patternType="solid">
          <fgColor indexed="64"/>
          <bgColor rgb="FFFFC0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scheme val="minor"/>
      </font>
      <numFmt numFmtId="1" formatCode="0"/>
      <fill>
        <patternFill patternType="solid">
          <fgColor indexed="64"/>
          <bgColor rgb="FFFFC0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scheme val="minor"/>
      </font>
      <numFmt numFmtId="1" formatCode="0"/>
      <fill>
        <patternFill patternType="solid">
          <fgColor indexed="64"/>
          <bgColor rgb="FFFFC000"/>
        </patternFill>
      </fill>
    </dxf>
    <dxf>
      <fill>
        <patternFill patternType="solid">
          <fgColor indexed="64"/>
          <bgColor rgb="FFFFC000"/>
        </patternFill>
      </fill>
    </dxf>
    <dxf>
      <fill>
        <patternFill patternType="solid">
          <fgColor indexed="64"/>
          <bgColor rgb="FFFFC0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scheme val="minor"/>
      </font>
      <fill>
        <patternFill patternType="solid">
          <fgColor indexed="64"/>
          <bgColor rgb="FFFFC00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rgb="FFFFC0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scheme val="minor"/>
      </font>
      <numFmt numFmtId="1" formatCode="0"/>
      <fill>
        <patternFill patternType="solid">
          <fgColor indexed="64"/>
          <bgColor theme="7" tint="0.599993896298104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scheme val="minor"/>
      </font>
      <numFmt numFmtId="1" formatCode="0"/>
      <fill>
        <patternFill patternType="solid">
          <fgColor indexed="64"/>
          <bgColor theme="7" tint="0.599993896298104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scheme val="minor"/>
      </font>
      <numFmt numFmtId="1" formatCode="0"/>
      <fill>
        <patternFill patternType="solid">
          <fgColor indexed="64"/>
          <bgColor theme="7" tint="0.599993896298104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scheme val="minor"/>
      </font>
      <numFmt numFmtId="1" formatCode="0"/>
      <fill>
        <patternFill patternType="solid">
          <fgColor indexed="64"/>
          <bgColor theme="7" tint="0.599993896298104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scheme val="minor"/>
      </font>
      <numFmt numFmtId="1" formatCode="0"/>
      <fill>
        <patternFill patternType="solid">
          <fgColor indexed="64"/>
          <bgColor theme="7" tint="0.599993896298104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scheme val="minor"/>
      </font>
      <numFmt numFmtId="1" formatCode="0"/>
      <fill>
        <patternFill patternType="solid">
          <fgColor indexed="64"/>
          <bgColor theme="7" tint="0.59999389629810485"/>
        </patternFill>
      </fill>
    </dxf>
    <dxf>
      <fill>
        <patternFill patternType="solid">
          <fgColor indexed="64"/>
          <bgColor theme="7" tint="0.59999389629810485"/>
        </patternFill>
      </fill>
    </dxf>
    <dxf>
      <fill>
        <patternFill patternType="solid">
          <fgColor indexed="64"/>
          <bgColor theme="7" tint="0.599993896298104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scheme val="minor"/>
      </font>
      <fill>
        <patternFill patternType="solid">
          <fgColor indexed="64"/>
          <bgColor theme="7" tint="0.59999389629810485"/>
        </patternFill>
      </fill>
    </dxf>
    <dxf>
      <fill>
        <patternFill patternType="solid">
          <fgColor indexed="64"/>
          <bgColor theme="7" tint="0.599993896298104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scheme val="minor"/>
      </font>
      <numFmt numFmtId="1" formatCode="0"/>
      <fill>
        <patternFill patternType="solid">
          <fgColor indexed="64"/>
          <bgColor rgb="FFFFC0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scheme val="minor"/>
      </font>
      <numFmt numFmtId="1" formatCode="0"/>
      <fill>
        <patternFill patternType="solid">
          <fgColor indexed="64"/>
          <bgColor rgb="FFFFC0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scheme val="minor"/>
      </font>
      <numFmt numFmtId="1" formatCode="0"/>
      <fill>
        <patternFill patternType="solid">
          <fgColor indexed="64"/>
          <bgColor rgb="FFFFC0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scheme val="minor"/>
      </font>
      <numFmt numFmtId="1" formatCode="0"/>
      <fill>
        <patternFill patternType="solid">
          <fgColor indexed="64"/>
          <bgColor rgb="FFFFC0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scheme val="minor"/>
      </font>
      <numFmt numFmtId="1" formatCode="0"/>
      <fill>
        <patternFill patternType="solid">
          <fgColor indexed="64"/>
          <bgColor rgb="FFFFC0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scheme val="minor"/>
      </font>
      <numFmt numFmtId="1" formatCode="0"/>
      <fill>
        <patternFill patternType="solid">
          <fgColor indexed="64"/>
          <bgColor rgb="FFFFC000"/>
        </patternFill>
      </fill>
    </dxf>
    <dxf>
      <fill>
        <patternFill patternType="solid">
          <fgColor indexed="64"/>
          <bgColor rgb="FFFFC000"/>
        </patternFill>
      </fill>
    </dxf>
    <dxf>
      <fill>
        <patternFill patternType="solid">
          <fgColor indexed="64"/>
          <bgColor rgb="FFFFC0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scheme val="none"/>
      </font>
      <fill>
        <patternFill patternType="solid">
          <fgColor rgb="FF000000"/>
          <bgColor rgb="FFFFC00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rgb="FFFFC0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scheme val="minor"/>
      </font>
      <numFmt numFmtId="1" formatCode="0"/>
      <fill>
        <patternFill patternType="solid">
          <fgColor indexed="64"/>
          <bgColor theme="7" tint="0.599993896298104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scheme val="minor"/>
      </font>
      <numFmt numFmtId="1" formatCode="0"/>
      <fill>
        <patternFill patternType="solid">
          <fgColor indexed="64"/>
          <bgColor theme="7" tint="0.599993896298104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scheme val="minor"/>
      </font>
      <numFmt numFmtId="1" formatCode="0"/>
      <fill>
        <patternFill patternType="solid">
          <fgColor indexed="64"/>
          <bgColor theme="7" tint="0.599993896298104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scheme val="minor"/>
      </font>
      <numFmt numFmtId="1" formatCode="0"/>
      <fill>
        <patternFill patternType="solid">
          <fgColor indexed="64"/>
          <bgColor theme="7" tint="0.599993896298104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scheme val="minor"/>
      </font>
      <numFmt numFmtId="1" formatCode="0"/>
      <fill>
        <patternFill patternType="solid">
          <fgColor indexed="64"/>
          <bgColor theme="7" tint="0.599993896298104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scheme val="minor"/>
      </font>
      <numFmt numFmtId="1" formatCode="0"/>
      <fill>
        <patternFill patternType="solid">
          <fgColor indexed="64"/>
          <bgColor theme="7" tint="0.59999389629810485"/>
        </patternFill>
      </fill>
    </dxf>
    <dxf>
      <fill>
        <patternFill patternType="solid">
          <fgColor indexed="64"/>
          <bgColor theme="7" tint="0.59999389629810485"/>
        </patternFill>
      </fill>
    </dxf>
    <dxf>
      <fill>
        <patternFill patternType="solid">
          <fgColor indexed="64"/>
          <bgColor theme="7" tint="0.599993896298104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scheme val="none"/>
      </font>
      <fill>
        <patternFill patternType="solid">
          <fgColor rgb="FF000000"/>
          <bgColor rgb="FFFFE699"/>
        </patternFill>
      </fill>
    </dxf>
    <dxf>
      <fill>
        <patternFill patternType="solid">
          <fgColor indexed="64"/>
          <bgColor theme="7" tint="0.599993896298104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scheme val="minor"/>
      </font>
      <numFmt numFmtId="1" formatCode="0"/>
      <fill>
        <patternFill patternType="solid">
          <fgColor indexed="64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scheme val="minor"/>
      </font>
      <numFmt numFmtId="1" formatCode="0"/>
      <fill>
        <patternFill patternType="solid">
          <fgColor indexed="64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scheme val="minor"/>
      </font>
      <numFmt numFmtId="1" formatCode="0"/>
      <fill>
        <patternFill patternType="solid">
          <fgColor indexed="64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scheme val="minor"/>
      </font>
      <numFmt numFmtId="1" formatCode="0"/>
      <fill>
        <patternFill patternType="solid">
          <fgColor indexed="64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scheme val="minor"/>
      </font>
      <numFmt numFmtId="1" formatCode="0"/>
      <fill>
        <patternFill patternType="solid">
          <fgColor indexed="64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scheme val="minor"/>
      </font>
      <numFmt numFmtId="1" formatCode="0"/>
      <fill>
        <patternFill patternType="solid">
          <fgColor indexed="64"/>
          <bgColor theme="0" tint="-0.249977111117893"/>
        </patternFill>
      </fill>
    </dxf>
    <dxf>
      <fill>
        <patternFill patternType="solid">
          <fgColor indexed="64"/>
          <bgColor theme="0" tint="-0.249977111117893"/>
        </patternFill>
      </fill>
    </dxf>
    <dxf>
      <fill>
        <patternFill patternType="solid">
          <fgColor indexed="64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scheme val="none"/>
      </font>
      <fill>
        <patternFill patternType="solid">
          <fgColor indexed="64"/>
          <bgColor theme="0" tint="-0.249977111117893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scheme val="minor"/>
      </font>
      <numFmt numFmtId="1" formatCode="0"/>
      <fill>
        <patternFill patternType="solid">
          <fgColor indexed="64"/>
          <bgColor theme="7" tint="0.599993896298104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scheme val="minor"/>
      </font>
      <numFmt numFmtId="1" formatCode="0"/>
      <fill>
        <patternFill patternType="solid">
          <fgColor indexed="64"/>
          <bgColor theme="7" tint="0.599993896298104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scheme val="minor"/>
      </font>
      <numFmt numFmtId="1" formatCode="0"/>
      <fill>
        <patternFill patternType="solid">
          <fgColor indexed="64"/>
          <bgColor theme="7" tint="0.599993896298104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scheme val="minor"/>
      </font>
      <numFmt numFmtId="1" formatCode="0"/>
      <fill>
        <patternFill patternType="solid">
          <fgColor indexed="64"/>
          <bgColor theme="7" tint="0.599993896298104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scheme val="minor"/>
      </font>
      <numFmt numFmtId="1" formatCode="0"/>
      <fill>
        <patternFill patternType="solid">
          <fgColor indexed="64"/>
          <bgColor theme="7" tint="0.599993896298104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scheme val="minor"/>
      </font>
      <numFmt numFmtId="1" formatCode="0"/>
      <fill>
        <patternFill patternType="solid">
          <fgColor indexed="64"/>
          <bgColor theme="7" tint="0.59999389629810485"/>
        </patternFill>
      </fill>
    </dxf>
    <dxf>
      <fill>
        <patternFill patternType="solid">
          <fgColor indexed="64"/>
          <bgColor theme="7" tint="0.59999389629810485"/>
        </patternFill>
      </fill>
    </dxf>
    <dxf>
      <fill>
        <patternFill patternType="solid">
          <fgColor indexed="64"/>
          <bgColor theme="7" tint="0.599993896298104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scheme val="none"/>
      </font>
      <fill>
        <patternFill patternType="solid">
          <fgColor rgb="FF000000"/>
          <bgColor rgb="FFFFE699"/>
        </patternFill>
      </fill>
    </dxf>
    <dxf>
      <fill>
        <patternFill patternType="solid">
          <fgColor indexed="64"/>
          <bgColor theme="7" tint="0.599993896298104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scheme val="minor"/>
      </font>
      <numFmt numFmtId="1" formatCode="0"/>
      <fill>
        <patternFill patternType="solid">
          <fgColor indexed="64"/>
          <bgColor rgb="FFFFC0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scheme val="minor"/>
      </font>
      <numFmt numFmtId="1" formatCode="0"/>
      <fill>
        <patternFill patternType="solid">
          <fgColor indexed="64"/>
          <bgColor rgb="FFFFC0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scheme val="minor"/>
      </font>
      <numFmt numFmtId="1" formatCode="0"/>
      <fill>
        <patternFill patternType="solid">
          <fgColor indexed="64"/>
          <bgColor rgb="FFFFC0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scheme val="minor"/>
      </font>
      <numFmt numFmtId="1" formatCode="0"/>
      <fill>
        <patternFill patternType="solid">
          <fgColor indexed="64"/>
          <bgColor rgb="FFFFC0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scheme val="minor"/>
      </font>
      <numFmt numFmtId="1" formatCode="0"/>
      <fill>
        <patternFill patternType="solid">
          <fgColor indexed="64"/>
          <bgColor rgb="FFFFC0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scheme val="minor"/>
      </font>
      <numFmt numFmtId="1" formatCode="0"/>
      <fill>
        <patternFill patternType="solid">
          <fgColor indexed="64"/>
          <bgColor rgb="FFFFC000"/>
        </patternFill>
      </fill>
    </dxf>
    <dxf>
      <fill>
        <patternFill patternType="solid">
          <fgColor indexed="64"/>
          <bgColor rgb="FFFFC000"/>
        </patternFill>
      </fill>
    </dxf>
    <dxf>
      <fill>
        <patternFill patternType="solid">
          <fgColor indexed="64"/>
          <bgColor rgb="FFFFC0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scheme val="none"/>
      </font>
      <fill>
        <patternFill patternType="solid">
          <fgColor rgb="FF000000"/>
          <bgColor rgb="FFFFC00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rgb="FFFFC0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scheme val="minor"/>
      </font>
      <numFmt numFmtId="1" formatCode="0"/>
      <fill>
        <patternFill patternType="solid">
          <fgColor indexed="64"/>
          <bgColor theme="7" tint="0.599993896298104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scheme val="minor"/>
      </font>
      <numFmt numFmtId="1" formatCode="0"/>
      <fill>
        <patternFill patternType="solid">
          <fgColor indexed="64"/>
          <bgColor theme="7" tint="0.599993896298104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scheme val="minor"/>
      </font>
      <numFmt numFmtId="1" formatCode="0"/>
      <fill>
        <patternFill patternType="solid">
          <fgColor indexed="64"/>
          <bgColor theme="7" tint="0.599993896298104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scheme val="minor"/>
      </font>
      <numFmt numFmtId="1" formatCode="0"/>
      <fill>
        <patternFill patternType="solid">
          <fgColor indexed="64"/>
          <bgColor theme="7" tint="0.599993896298104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scheme val="minor"/>
      </font>
      <numFmt numFmtId="1" formatCode="0"/>
      <fill>
        <patternFill patternType="solid">
          <fgColor indexed="64"/>
          <bgColor theme="7" tint="0.599993896298104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scheme val="minor"/>
      </font>
      <numFmt numFmtId="1" formatCode="0"/>
      <fill>
        <patternFill patternType="solid">
          <fgColor indexed="64"/>
          <bgColor theme="7" tint="0.59999389629810485"/>
        </patternFill>
      </fill>
    </dxf>
    <dxf>
      <fill>
        <patternFill patternType="solid">
          <fgColor indexed="64"/>
          <bgColor theme="7" tint="0.59999389629810485"/>
        </patternFill>
      </fill>
    </dxf>
    <dxf>
      <fill>
        <patternFill patternType="solid">
          <fgColor indexed="64"/>
          <bgColor theme="7" tint="0.599993896298104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scheme val="none"/>
      </font>
      <fill>
        <patternFill patternType="solid">
          <fgColor rgb="FF000000"/>
          <bgColor rgb="FFFFE699"/>
        </patternFill>
      </fill>
    </dxf>
    <dxf>
      <fill>
        <patternFill patternType="solid">
          <fgColor indexed="64"/>
          <bgColor theme="7" tint="0.599993896298104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scheme val="minor"/>
      </font>
      <numFmt numFmtId="1" formatCode="0"/>
      <fill>
        <patternFill patternType="solid">
          <fgColor indexed="64"/>
          <bgColor rgb="FFFFC0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scheme val="minor"/>
      </font>
      <numFmt numFmtId="1" formatCode="0"/>
      <fill>
        <patternFill patternType="solid">
          <fgColor indexed="64"/>
          <bgColor rgb="FFFFC0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scheme val="minor"/>
      </font>
      <numFmt numFmtId="1" formatCode="0"/>
      <fill>
        <patternFill patternType="solid">
          <fgColor indexed="64"/>
          <bgColor rgb="FFFFC0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scheme val="minor"/>
      </font>
      <numFmt numFmtId="1" formatCode="0"/>
      <fill>
        <patternFill patternType="solid">
          <fgColor indexed="64"/>
          <bgColor rgb="FFFFC0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scheme val="minor"/>
      </font>
      <numFmt numFmtId="1" formatCode="0"/>
      <fill>
        <patternFill patternType="solid">
          <fgColor indexed="64"/>
          <bgColor rgb="FFFFC0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scheme val="minor"/>
      </font>
      <numFmt numFmtId="1" formatCode="0"/>
      <fill>
        <patternFill patternType="solid">
          <fgColor indexed="64"/>
          <bgColor rgb="FFFFC000"/>
        </patternFill>
      </fill>
    </dxf>
    <dxf>
      <fill>
        <patternFill patternType="solid">
          <fgColor indexed="64"/>
          <bgColor rgb="FFFFC000"/>
        </patternFill>
      </fill>
    </dxf>
    <dxf>
      <fill>
        <patternFill patternType="solid">
          <fgColor indexed="64"/>
          <bgColor rgb="FFFFC0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scheme val="none"/>
      </font>
      <fill>
        <patternFill patternType="solid">
          <fgColor rgb="FF000000"/>
          <bgColor rgb="FFFFC00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rgb="FFFFC0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scheme val="minor"/>
      </font>
      <numFmt numFmtId="1" formatCode="0"/>
      <fill>
        <patternFill patternType="solid">
          <fgColor indexed="64"/>
          <bgColor theme="7" tint="0.599993896298104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scheme val="minor"/>
      </font>
      <numFmt numFmtId="1" formatCode="0"/>
      <fill>
        <patternFill patternType="solid">
          <fgColor indexed="64"/>
          <bgColor theme="7" tint="0.599993896298104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scheme val="minor"/>
      </font>
      <numFmt numFmtId="1" formatCode="0"/>
      <fill>
        <patternFill patternType="solid">
          <fgColor indexed="64"/>
          <bgColor theme="7" tint="0.599993896298104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scheme val="minor"/>
      </font>
      <numFmt numFmtId="1" formatCode="0"/>
      <fill>
        <patternFill patternType="solid">
          <fgColor indexed="64"/>
          <bgColor theme="7" tint="0.599993896298104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scheme val="minor"/>
      </font>
      <numFmt numFmtId="1" formatCode="0"/>
      <fill>
        <patternFill patternType="solid">
          <fgColor indexed="64"/>
          <bgColor theme="7" tint="0.599993896298104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scheme val="minor"/>
      </font>
      <numFmt numFmtId="1" formatCode="0"/>
      <fill>
        <patternFill patternType="solid">
          <fgColor indexed="64"/>
          <bgColor theme="7" tint="0.59999389629810485"/>
        </patternFill>
      </fill>
    </dxf>
    <dxf>
      <fill>
        <patternFill patternType="solid">
          <fgColor indexed="64"/>
          <bgColor theme="7" tint="0.59999389629810485"/>
        </patternFill>
      </fill>
    </dxf>
    <dxf>
      <fill>
        <patternFill patternType="solid">
          <fgColor indexed="64"/>
          <bgColor theme="7" tint="0.599993896298104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scheme val="none"/>
      </font>
      <fill>
        <patternFill patternType="solid">
          <fgColor rgb="FF000000"/>
          <bgColor rgb="FFFFE699"/>
        </patternFill>
      </fill>
    </dxf>
    <dxf>
      <fill>
        <patternFill patternType="solid">
          <fgColor indexed="64"/>
          <bgColor theme="7" tint="0.599993896298104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scheme val="minor"/>
      </font>
      <numFmt numFmtId="1" formatCode="0"/>
      <fill>
        <patternFill patternType="solid">
          <fgColor indexed="64"/>
          <bgColor rgb="FFFFC0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scheme val="minor"/>
      </font>
      <numFmt numFmtId="1" formatCode="0"/>
      <fill>
        <patternFill patternType="solid">
          <fgColor indexed="64"/>
          <bgColor rgb="FFFFC0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scheme val="minor"/>
      </font>
      <numFmt numFmtId="1" formatCode="0"/>
      <fill>
        <patternFill patternType="solid">
          <fgColor indexed="64"/>
          <bgColor rgb="FFFFC0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scheme val="minor"/>
      </font>
      <numFmt numFmtId="1" formatCode="0"/>
      <fill>
        <patternFill patternType="solid">
          <fgColor indexed="64"/>
          <bgColor rgb="FFFFC0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scheme val="minor"/>
      </font>
      <numFmt numFmtId="1" formatCode="0"/>
      <fill>
        <patternFill patternType="solid">
          <fgColor indexed="64"/>
          <bgColor rgb="FFFFC0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scheme val="minor"/>
      </font>
      <numFmt numFmtId="1" formatCode="0"/>
      <fill>
        <patternFill patternType="solid">
          <fgColor indexed="64"/>
          <bgColor rgb="FFFFC000"/>
        </patternFill>
      </fill>
    </dxf>
    <dxf>
      <fill>
        <patternFill patternType="solid">
          <fgColor indexed="64"/>
          <bgColor rgb="FFFFC000"/>
        </patternFill>
      </fill>
    </dxf>
    <dxf>
      <fill>
        <patternFill patternType="solid">
          <fgColor indexed="64"/>
          <bgColor rgb="FFFFC0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scheme val="none"/>
      </font>
      <fill>
        <patternFill patternType="solid">
          <fgColor rgb="FF000000"/>
          <bgColor rgb="FFFFC00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rgb="FFFFC0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scheme val="minor"/>
      </font>
      <numFmt numFmtId="1" formatCode="0"/>
      <fill>
        <patternFill patternType="solid">
          <fgColor indexed="64"/>
          <bgColor theme="7" tint="0.599993896298104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scheme val="minor"/>
      </font>
      <numFmt numFmtId="1" formatCode="0"/>
      <fill>
        <patternFill patternType="solid">
          <fgColor indexed="64"/>
          <bgColor theme="7" tint="0.599993896298104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scheme val="minor"/>
      </font>
      <numFmt numFmtId="1" formatCode="0"/>
      <fill>
        <patternFill patternType="solid">
          <fgColor indexed="64"/>
          <bgColor theme="7" tint="0.599993896298104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scheme val="minor"/>
      </font>
      <numFmt numFmtId="1" formatCode="0"/>
      <fill>
        <patternFill patternType="solid">
          <fgColor indexed="64"/>
          <bgColor theme="7" tint="0.599993896298104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scheme val="minor"/>
      </font>
      <numFmt numFmtId="1" formatCode="0"/>
      <fill>
        <patternFill patternType="solid">
          <fgColor indexed="64"/>
          <bgColor theme="7" tint="0.599993896298104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scheme val="minor"/>
      </font>
      <numFmt numFmtId="1" formatCode="0"/>
      <fill>
        <patternFill patternType="solid">
          <fgColor indexed="64"/>
          <bgColor theme="7" tint="0.59999389629810485"/>
        </patternFill>
      </fill>
    </dxf>
    <dxf>
      <fill>
        <patternFill patternType="solid">
          <fgColor indexed="64"/>
          <bgColor theme="7" tint="0.59999389629810485"/>
        </patternFill>
      </fill>
    </dxf>
    <dxf>
      <fill>
        <patternFill patternType="solid">
          <fgColor indexed="64"/>
          <bgColor theme="7" tint="0.599993896298104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scheme val="none"/>
      </font>
      <fill>
        <patternFill patternType="solid">
          <fgColor rgb="FF000000"/>
          <bgColor rgb="FFFFE699"/>
        </patternFill>
      </fill>
    </dxf>
    <dxf>
      <fill>
        <patternFill patternType="solid">
          <fgColor indexed="64"/>
          <bgColor theme="7" tint="0.599993896298104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scheme val="minor"/>
      </font>
      <numFmt numFmtId="1" formatCode="0"/>
      <fill>
        <patternFill patternType="solid">
          <fgColor indexed="64"/>
          <bgColor rgb="FFFFC0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scheme val="minor"/>
      </font>
      <numFmt numFmtId="1" formatCode="0"/>
      <fill>
        <patternFill patternType="solid">
          <fgColor indexed="64"/>
          <bgColor rgb="FFFFC0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scheme val="minor"/>
      </font>
      <numFmt numFmtId="1" formatCode="0"/>
      <fill>
        <patternFill patternType="solid">
          <fgColor indexed="64"/>
          <bgColor rgb="FFFFC0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scheme val="minor"/>
      </font>
      <numFmt numFmtId="1" formatCode="0"/>
      <fill>
        <patternFill patternType="solid">
          <fgColor indexed="64"/>
          <bgColor rgb="FFFFC0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scheme val="minor"/>
      </font>
      <numFmt numFmtId="1" formatCode="0"/>
      <fill>
        <patternFill patternType="solid">
          <fgColor indexed="64"/>
          <bgColor rgb="FFFFC0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scheme val="minor"/>
      </font>
      <numFmt numFmtId="1" formatCode="0"/>
      <fill>
        <patternFill patternType="solid">
          <fgColor indexed="64"/>
          <bgColor rgb="FFFFC000"/>
        </patternFill>
      </fill>
    </dxf>
    <dxf>
      <fill>
        <patternFill patternType="solid">
          <fgColor indexed="64"/>
          <bgColor rgb="FFFFC000"/>
        </patternFill>
      </fill>
    </dxf>
    <dxf>
      <fill>
        <patternFill patternType="solid">
          <fgColor indexed="64"/>
          <bgColor rgb="FFFFC0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scheme val="none"/>
      </font>
      <fill>
        <patternFill patternType="solid">
          <fgColor rgb="FF000000"/>
          <bgColor rgb="FFFFC00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rgb="FFFFC0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scheme val="minor"/>
      </font>
      <numFmt numFmtId="1" formatCode="0"/>
      <fill>
        <patternFill patternType="solid">
          <fgColor indexed="64"/>
          <bgColor theme="7" tint="0.599993896298104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scheme val="minor"/>
      </font>
      <numFmt numFmtId="1" formatCode="0"/>
      <fill>
        <patternFill patternType="solid">
          <fgColor indexed="64"/>
          <bgColor theme="7" tint="0.599993896298104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scheme val="minor"/>
      </font>
      <numFmt numFmtId="1" formatCode="0"/>
      <fill>
        <patternFill patternType="solid">
          <fgColor indexed="64"/>
          <bgColor theme="7" tint="0.599993896298104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scheme val="minor"/>
      </font>
      <numFmt numFmtId="1" formatCode="0"/>
      <fill>
        <patternFill patternType="solid">
          <fgColor indexed="64"/>
          <bgColor theme="7" tint="0.599993896298104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scheme val="minor"/>
      </font>
      <numFmt numFmtId="1" formatCode="0"/>
      <fill>
        <patternFill patternType="solid">
          <fgColor indexed="64"/>
          <bgColor theme="7" tint="0.599993896298104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scheme val="minor"/>
      </font>
      <numFmt numFmtId="1" formatCode="0"/>
      <fill>
        <patternFill patternType="solid">
          <fgColor indexed="64"/>
          <bgColor theme="7" tint="0.59999389629810485"/>
        </patternFill>
      </fill>
    </dxf>
    <dxf>
      <fill>
        <patternFill patternType="solid">
          <fgColor indexed="64"/>
          <bgColor theme="7" tint="0.59999389629810485"/>
        </patternFill>
      </fill>
    </dxf>
    <dxf>
      <fill>
        <patternFill patternType="solid">
          <fgColor indexed="64"/>
          <bgColor theme="7" tint="0.599993896298104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scheme val="none"/>
      </font>
      <fill>
        <patternFill patternType="solid">
          <fgColor rgb="FF000000"/>
          <bgColor rgb="FFFFE699"/>
        </patternFill>
      </fill>
    </dxf>
    <dxf>
      <fill>
        <patternFill patternType="solid">
          <fgColor indexed="64"/>
          <bgColor theme="7" tint="0.599993896298104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scheme val="minor"/>
      </font>
      <numFmt numFmtId="1" formatCode="0"/>
      <fill>
        <patternFill patternType="solid">
          <fgColor indexed="64"/>
          <bgColor rgb="FFFFC0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scheme val="minor"/>
      </font>
      <numFmt numFmtId="1" formatCode="0"/>
      <fill>
        <patternFill patternType="solid">
          <fgColor indexed="64"/>
          <bgColor rgb="FFFFC0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scheme val="minor"/>
      </font>
      <numFmt numFmtId="1" formatCode="0"/>
      <fill>
        <patternFill patternType="solid">
          <fgColor indexed="64"/>
          <bgColor rgb="FFFFC0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scheme val="minor"/>
      </font>
      <numFmt numFmtId="1" formatCode="0"/>
      <fill>
        <patternFill patternType="solid">
          <fgColor indexed="64"/>
          <bgColor rgb="FFFFC0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scheme val="minor"/>
      </font>
      <numFmt numFmtId="1" formatCode="0"/>
      <fill>
        <patternFill patternType="solid">
          <fgColor indexed="64"/>
          <bgColor rgb="FFFFC0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scheme val="minor"/>
      </font>
      <numFmt numFmtId="1" formatCode="0"/>
      <fill>
        <patternFill patternType="solid">
          <fgColor indexed="64"/>
          <bgColor rgb="FFFFC000"/>
        </patternFill>
      </fill>
    </dxf>
    <dxf>
      <fill>
        <patternFill patternType="solid">
          <fgColor indexed="64"/>
          <bgColor rgb="FFFFC000"/>
        </patternFill>
      </fill>
    </dxf>
    <dxf>
      <fill>
        <patternFill patternType="solid">
          <fgColor indexed="64"/>
          <bgColor rgb="FFFFC0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scheme val="none"/>
      </font>
      <fill>
        <patternFill patternType="solid">
          <fgColor rgb="FF000000"/>
          <bgColor rgb="FFFFC00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rgb="FFFFC0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scheme val="minor"/>
      </font>
      <numFmt numFmtId="1" formatCode="0"/>
      <fill>
        <patternFill patternType="solid">
          <fgColor indexed="64"/>
          <bgColor theme="7" tint="0.599993896298104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scheme val="minor"/>
      </font>
      <numFmt numFmtId="1" formatCode="0"/>
      <fill>
        <patternFill patternType="solid">
          <fgColor indexed="64"/>
          <bgColor theme="7" tint="0.599993896298104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scheme val="minor"/>
      </font>
      <numFmt numFmtId="1" formatCode="0"/>
      <fill>
        <patternFill patternType="solid">
          <fgColor indexed="64"/>
          <bgColor theme="7" tint="0.599993896298104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scheme val="minor"/>
      </font>
      <numFmt numFmtId="1" formatCode="0"/>
      <fill>
        <patternFill patternType="solid">
          <fgColor indexed="64"/>
          <bgColor theme="7" tint="0.599993896298104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scheme val="minor"/>
      </font>
      <numFmt numFmtId="1" formatCode="0"/>
      <fill>
        <patternFill patternType="solid">
          <fgColor indexed="64"/>
          <bgColor theme="7" tint="0.599993896298104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scheme val="minor"/>
      </font>
      <numFmt numFmtId="1" formatCode="0"/>
      <fill>
        <patternFill patternType="solid">
          <fgColor indexed="64"/>
          <bgColor theme="7" tint="0.59999389629810485"/>
        </patternFill>
      </fill>
    </dxf>
    <dxf>
      <fill>
        <patternFill patternType="solid">
          <fgColor indexed="64"/>
          <bgColor theme="7" tint="0.59999389629810485"/>
        </patternFill>
      </fill>
    </dxf>
    <dxf>
      <fill>
        <patternFill patternType="solid">
          <fgColor indexed="64"/>
          <bgColor theme="7" tint="0.599993896298104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scheme val="none"/>
      </font>
      <fill>
        <patternFill patternType="solid">
          <fgColor rgb="FF000000"/>
          <bgColor rgb="FFFFE699"/>
        </patternFill>
      </fill>
    </dxf>
    <dxf>
      <fill>
        <patternFill patternType="solid">
          <fgColor indexed="64"/>
          <bgColor theme="7" tint="0.599993896298104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scheme val="minor"/>
      </font>
      <numFmt numFmtId="1" formatCode="0"/>
      <fill>
        <patternFill patternType="solid">
          <fgColor indexed="64"/>
          <bgColor rgb="FFFFC0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scheme val="minor"/>
      </font>
      <numFmt numFmtId="1" formatCode="0"/>
      <fill>
        <patternFill patternType="solid">
          <fgColor indexed="64"/>
          <bgColor rgb="FFFFC0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scheme val="minor"/>
      </font>
      <numFmt numFmtId="1" formatCode="0"/>
      <fill>
        <patternFill patternType="solid">
          <fgColor indexed="64"/>
          <bgColor rgb="FFFFC0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scheme val="minor"/>
      </font>
      <numFmt numFmtId="1" formatCode="0"/>
      <fill>
        <patternFill patternType="solid">
          <fgColor indexed="64"/>
          <bgColor rgb="FFFFC0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scheme val="minor"/>
      </font>
      <numFmt numFmtId="1" formatCode="0"/>
      <fill>
        <patternFill patternType="solid">
          <fgColor indexed="64"/>
          <bgColor rgb="FFFFC0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scheme val="minor"/>
      </font>
      <numFmt numFmtId="1" formatCode="0"/>
      <fill>
        <patternFill patternType="solid">
          <fgColor indexed="64"/>
          <bgColor rgb="FFFFC000"/>
        </patternFill>
      </fill>
    </dxf>
    <dxf>
      <fill>
        <patternFill patternType="solid">
          <fgColor indexed="64"/>
          <bgColor rgb="FFFFC000"/>
        </patternFill>
      </fill>
    </dxf>
    <dxf>
      <fill>
        <patternFill patternType="solid">
          <fgColor indexed="64"/>
          <bgColor rgb="FFFFC0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scheme val="none"/>
      </font>
      <fill>
        <patternFill patternType="solid">
          <fgColor rgb="FF000000"/>
          <bgColor rgb="FFFFC00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rgb="FFFFC0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scheme val="minor"/>
      </font>
      <numFmt numFmtId="1" formatCode="0"/>
      <fill>
        <patternFill patternType="solid">
          <fgColor indexed="64"/>
          <bgColor theme="7" tint="0.599993896298104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scheme val="minor"/>
      </font>
      <numFmt numFmtId="1" formatCode="0"/>
      <fill>
        <patternFill patternType="solid">
          <fgColor indexed="64"/>
          <bgColor theme="7" tint="0.599993896298104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scheme val="minor"/>
      </font>
      <numFmt numFmtId="1" formatCode="0"/>
      <fill>
        <patternFill patternType="solid">
          <fgColor indexed="64"/>
          <bgColor theme="7" tint="0.599993896298104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scheme val="minor"/>
      </font>
      <numFmt numFmtId="1" formatCode="0"/>
      <fill>
        <patternFill patternType="solid">
          <fgColor indexed="64"/>
          <bgColor theme="7" tint="0.599993896298104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scheme val="minor"/>
      </font>
      <numFmt numFmtId="1" formatCode="0"/>
      <fill>
        <patternFill patternType="solid">
          <fgColor indexed="64"/>
          <bgColor theme="7" tint="0.599993896298104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scheme val="minor"/>
      </font>
      <numFmt numFmtId="1" formatCode="0"/>
      <fill>
        <patternFill patternType="solid">
          <fgColor indexed="64"/>
          <bgColor theme="7" tint="0.59999389629810485"/>
        </patternFill>
      </fill>
    </dxf>
    <dxf>
      <fill>
        <patternFill patternType="solid">
          <fgColor indexed="64"/>
          <bgColor theme="7" tint="0.59999389629810485"/>
        </patternFill>
      </fill>
    </dxf>
    <dxf>
      <fill>
        <patternFill patternType="solid">
          <fgColor indexed="64"/>
          <bgColor theme="7" tint="0.599993896298104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scheme val="none"/>
      </font>
      <fill>
        <patternFill patternType="solid">
          <fgColor rgb="FF000000"/>
          <bgColor rgb="FFFFE699"/>
        </patternFill>
      </fill>
    </dxf>
    <dxf>
      <fill>
        <patternFill patternType="solid">
          <fgColor indexed="64"/>
          <bgColor theme="7" tint="0.599993896298104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scheme val="minor"/>
      </font>
      <numFmt numFmtId="1" formatCode="0"/>
      <fill>
        <patternFill patternType="solid">
          <fgColor indexed="64"/>
          <bgColor rgb="FFFFC0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scheme val="minor"/>
      </font>
      <numFmt numFmtId="1" formatCode="0"/>
      <fill>
        <patternFill patternType="solid">
          <fgColor indexed="64"/>
          <bgColor rgb="FFFFC0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scheme val="minor"/>
      </font>
      <numFmt numFmtId="1" formatCode="0"/>
      <fill>
        <patternFill patternType="solid">
          <fgColor indexed="64"/>
          <bgColor rgb="FFFFC0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scheme val="minor"/>
      </font>
      <numFmt numFmtId="1" formatCode="0"/>
      <fill>
        <patternFill patternType="solid">
          <fgColor indexed="64"/>
          <bgColor rgb="FFFFC0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scheme val="minor"/>
      </font>
      <numFmt numFmtId="1" formatCode="0"/>
      <fill>
        <patternFill patternType="solid">
          <fgColor indexed="64"/>
          <bgColor rgb="FFFFC0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scheme val="minor"/>
      </font>
      <numFmt numFmtId="1" formatCode="0"/>
      <fill>
        <patternFill patternType="solid">
          <fgColor indexed="64"/>
          <bgColor rgb="FFFFC000"/>
        </patternFill>
      </fill>
    </dxf>
    <dxf>
      <fill>
        <patternFill patternType="solid">
          <fgColor indexed="64"/>
          <bgColor rgb="FFFFC000"/>
        </patternFill>
      </fill>
    </dxf>
    <dxf>
      <fill>
        <patternFill patternType="solid">
          <fgColor indexed="64"/>
          <bgColor rgb="FFFFC0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scheme val="none"/>
      </font>
      <fill>
        <patternFill patternType="solid">
          <fgColor rgb="FF000000"/>
          <bgColor rgb="FFFFC00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rgb="FFFFC0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scheme val="minor"/>
      </font>
      <numFmt numFmtId="1" formatCode="0"/>
      <fill>
        <patternFill patternType="solid">
          <fgColor indexed="64"/>
          <bgColor theme="7" tint="0.599993896298104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scheme val="minor"/>
      </font>
      <numFmt numFmtId="1" formatCode="0"/>
      <fill>
        <patternFill patternType="solid">
          <fgColor indexed="64"/>
          <bgColor theme="7" tint="0.599993896298104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scheme val="minor"/>
      </font>
      <numFmt numFmtId="1" formatCode="0"/>
      <fill>
        <patternFill patternType="solid">
          <fgColor indexed="64"/>
          <bgColor theme="7" tint="0.599993896298104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scheme val="minor"/>
      </font>
      <numFmt numFmtId="1" formatCode="0"/>
      <fill>
        <patternFill patternType="solid">
          <fgColor indexed="64"/>
          <bgColor theme="7" tint="0.599993896298104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scheme val="minor"/>
      </font>
      <numFmt numFmtId="1" formatCode="0"/>
      <fill>
        <patternFill patternType="solid">
          <fgColor indexed="64"/>
          <bgColor theme="7" tint="0.599993896298104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scheme val="minor"/>
      </font>
      <numFmt numFmtId="1" formatCode="0"/>
      <fill>
        <patternFill patternType="solid">
          <fgColor indexed="64"/>
          <bgColor theme="7" tint="0.59999389629810485"/>
        </patternFill>
      </fill>
    </dxf>
    <dxf>
      <fill>
        <patternFill patternType="solid">
          <fgColor indexed="64"/>
          <bgColor theme="7" tint="0.59999389629810485"/>
        </patternFill>
      </fill>
    </dxf>
    <dxf>
      <fill>
        <patternFill patternType="solid">
          <fgColor indexed="64"/>
          <bgColor theme="7" tint="0.599993896298104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scheme val="none"/>
      </font>
      <fill>
        <patternFill patternType="solid">
          <fgColor rgb="FF000000"/>
          <bgColor rgb="FFFFE699"/>
        </patternFill>
      </fill>
    </dxf>
    <dxf>
      <fill>
        <patternFill patternType="solid">
          <fgColor indexed="64"/>
          <bgColor theme="7" tint="0.599993896298104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scheme val="minor"/>
      </font>
      <numFmt numFmtId="1" formatCode="0"/>
      <fill>
        <patternFill patternType="solid">
          <fgColor indexed="64"/>
          <bgColor rgb="FFFFC0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scheme val="minor"/>
      </font>
      <numFmt numFmtId="1" formatCode="0"/>
      <fill>
        <patternFill patternType="solid">
          <fgColor indexed="64"/>
          <bgColor rgb="FFFFC0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scheme val="minor"/>
      </font>
      <numFmt numFmtId="1" formatCode="0"/>
      <fill>
        <patternFill patternType="solid">
          <fgColor indexed="64"/>
          <bgColor rgb="FFFFC0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scheme val="minor"/>
      </font>
      <numFmt numFmtId="1" formatCode="0"/>
      <fill>
        <patternFill patternType="solid">
          <fgColor indexed="64"/>
          <bgColor rgb="FFFFC0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scheme val="minor"/>
      </font>
      <numFmt numFmtId="1" formatCode="0"/>
      <fill>
        <patternFill patternType="solid">
          <fgColor indexed="64"/>
          <bgColor rgb="FFFFC0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scheme val="minor"/>
      </font>
      <numFmt numFmtId="1" formatCode="0"/>
      <fill>
        <patternFill patternType="solid">
          <fgColor indexed="64"/>
          <bgColor rgb="FFFFC000"/>
        </patternFill>
      </fill>
    </dxf>
    <dxf>
      <fill>
        <patternFill patternType="solid">
          <fgColor indexed="64"/>
          <bgColor rgb="FFFFC000"/>
        </patternFill>
      </fill>
    </dxf>
    <dxf>
      <fill>
        <patternFill patternType="solid">
          <fgColor indexed="64"/>
          <bgColor rgb="FFFFC0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scheme val="none"/>
      </font>
      <fill>
        <patternFill patternType="solid">
          <fgColor rgb="FF000000"/>
          <bgColor rgb="FFFFC00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rgb="FFFFC0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scheme val="minor"/>
      </font>
      <numFmt numFmtId="1" formatCode="0"/>
      <fill>
        <patternFill patternType="solid">
          <fgColor indexed="64"/>
          <bgColor theme="7" tint="0.599993896298104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scheme val="minor"/>
      </font>
      <numFmt numFmtId="1" formatCode="0"/>
      <fill>
        <patternFill patternType="solid">
          <fgColor indexed="64"/>
          <bgColor theme="7" tint="0.599993896298104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scheme val="minor"/>
      </font>
      <numFmt numFmtId="1" formatCode="0"/>
      <fill>
        <patternFill patternType="solid">
          <fgColor indexed="64"/>
          <bgColor theme="7" tint="0.599993896298104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scheme val="minor"/>
      </font>
      <numFmt numFmtId="1" formatCode="0"/>
      <fill>
        <patternFill patternType="solid">
          <fgColor indexed="64"/>
          <bgColor theme="7" tint="0.599993896298104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scheme val="minor"/>
      </font>
      <numFmt numFmtId="1" formatCode="0"/>
      <fill>
        <patternFill patternType="solid">
          <fgColor indexed="64"/>
          <bgColor theme="7" tint="0.599993896298104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scheme val="minor"/>
      </font>
      <numFmt numFmtId="1" formatCode="0"/>
      <fill>
        <patternFill patternType="solid">
          <fgColor indexed="64"/>
          <bgColor theme="7" tint="0.59999389629810485"/>
        </patternFill>
      </fill>
    </dxf>
    <dxf>
      <fill>
        <patternFill patternType="solid">
          <fgColor indexed="64"/>
          <bgColor theme="7" tint="0.59999389629810485"/>
        </patternFill>
      </fill>
    </dxf>
    <dxf>
      <fill>
        <patternFill patternType="solid">
          <fgColor indexed="64"/>
          <bgColor theme="7" tint="0.599993896298104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scheme val="none"/>
      </font>
      <fill>
        <patternFill patternType="solid">
          <fgColor rgb="FF000000"/>
          <bgColor rgb="FFFFE699"/>
        </patternFill>
      </fill>
    </dxf>
    <dxf>
      <fill>
        <patternFill patternType="solid">
          <fgColor indexed="64"/>
          <bgColor theme="7" tint="0.599993896298104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scheme val="minor"/>
      </font>
      <numFmt numFmtId="1" formatCode="0"/>
      <fill>
        <patternFill patternType="solid">
          <fgColor indexed="64"/>
          <bgColor rgb="FFFFC0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scheme val="minor"/>
      </font>
      <numFmt numFmtId="1" formatCode="0"/>
      <fill>
        <patternFill patternType="solid">
          <fgColor indexed="64"/>
          <bgColor rgb="FFFFC0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scheme val="minor"/>
      </font>
      <numFmt numFmtId="1" formatCode="0"/>
      <fill>
        <patternFill patternType="solid">
          <fgColor indexed="64"/>
          <bgColor rgb="FFFFC0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scheme val="minor"/>
      </font>
      <numFmt numFmtId="1" formatCode="0"/>
      <fill>
        <patternFill patternType="solid">
          <fgColor indexed="64"/>
          <bgColor rgb="FFFFC0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scheme val="minor"/>
      </font>
      <numFmt numFmtId="1" formatCode="0"/>
      <fill>
        <patternFill patternType="solid">
          <fgColor indexed="64"/>
          <bgColor rgb="FFFFC0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scheme val="minor"/>
      </font>
      <numFmt numFmtId="1" formatCode="0"/>
      <fill>
        <patternFill patternType="solid">
          <fgColor indexed="64"/>
          <bgColor rgb="FFFFC000"/>
        </patternFill>
      </fill>
    </dxf>
    <dxf>
      <fill>
        <patternFill patternType="solid">
          <fgColor indexed="64"/>
          <bgColor rgb="FFFFC000"/>
        </patternFill>
      </fill>
    </dxf>
    <dxf>
      <fill>
        <patternFill patternType="solid">
          <fgColor indexed="64"/>
          <bgColor rgb="FFFFC0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scheme val="none"/>
      </font>
      <fill>
        <patternFill patternType="solid">
          <fgColor rgb="FF000000"/>
          <bgColor rgb="FFFFC00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rgb="FFFFC0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scheme val="minor"/>
      </font>
      <numFmt numFmtId="1" formatCode="0"/>
      <fill>
        <patternFill patternType="solid">
          <fgColor indexed="64"/>
          <bgColor theme="7" tint="0.599993896298104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scheme val="minor"/>
      </font>
      <numFmt numFmtId="1" formatCode="0"/>
      <fill>
        <patternFill patternType="solid">
          <fgColor indexed="64"/>
          <bgColor theme="7" tint="0.599993896298104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scheme val="minor"/>
      </font>
      <numFmt numFmtId="1" formatCode="0"/>
      <fill>
        <patternFill patternType="solid">
          <fgColor indexed="64"/>
          <bgColor theme="7" tint="0.599993896298104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scheme val="minor"/>
      </font>
      <numFmt numFmtId="1" formatCode="0"/>
      <fill>
        <patternFill patternType="solid">
          <fgColor indexed="64"/>
          <bgColor theme="7" tint="0.599993896298104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scheme val="minor"/>
      </font>
      <numFmt numFmtId="1" formatCode="0"/>
      <fill>
        <patternFill patternType="solid">
          <fgColor indexed="64"/>
          <bgColor theme="7" tint="0.599993896298104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scheme val="minor"/>
      </font>
      <numFmt numFmtId="1" formatCode="0"/>
      <fill>
        <patternFill patternType="solid">
          <fgColor indexed="64"/>
          <bgColor theme="7" tint="0.59999389629810485"/>
        </patternFill>
      </fill>
    </dxf>
    <dxf>
      <fill>
        <patternFill patternType="solid">
          <fgColor indexed="64"/>
          <bgColor theme="7" tint="0.59999389629810485"/>
        </patternFill>
      </fill>
    </dxf>
    <dxf>
      <fill>
        <patternFill patternType="solid">
          <fgColor indexed="64"/>
          <bgColor theme="7" tint="0.599993896298104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scheme val="none"/>
      </font>
      <fill>
        <patternFill patternType="solid">
          <fgColor rgb="FF000000"/>
          <bgColor rgb="FFFFE699"/>
        </patternFill>
      </fill>
    </dxf>
    <dxf>
      <fill>
        <patternFill patternType="solid">
          <fgColor indexed="64"/>
          <bgColor theme="7" tint="0.599993896298104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scheme val="minor"/>
      </font>
      <numFmt numFmtId="1" formatCode="0"/>
      <fill>
        <patternFill patternType="solid">
          <fgColor indexed="64"/>
          <bgColor rgb="FFFFC0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scheme val="minor"/>
      </font>
      <numFmt numFmtId="1" formatCode="0"/>
      <fill>
        <patternFill patternType="solid">
          <fgColor indexed="64"/>
          <bgColor rgb="FFFFC0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scheme val="minor"/>
      </font>
      <numFmt numFmtId="1" formatCode="0"/>
      <fill>
        <patternFill patternType="solid">
          <fgColor indexed="64"/>
          <bgColor rgb="FFFFC0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scheme val="minor"/>
      </font>
      <numFmt numFmtId="1" formatCode="0"/>
      <fill>
        <patternFill patternType="solid">
          <fgColor indexed="64"/>
          <bgColor rgb="FFFFC0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scheme val="minor"/>
      </font>
      <numFmt numFmtId="1" formatCode="0"/>
      <fill>
        <patternFill patternType="solid">
          <fgColor indexed="64"/>
          <bgColor rgb="FFFFC0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scheme val="minor"/>
      </font>
      <numFmt numFmtId="1" formatCode="0"/>
      <fill>
        <patternFill patternType="solid">
          <fgColor indexed="64"/>
          <bgColor rgb="FFFFC000"/>
        </patternFill>
      </fill>
    </dxf>
    <dxf>
      <fill>
        <patternFill patternType="solid">
          <fgColor indexed="64"/>
          <bgColor rgb="FFFFC000"/>
        </patternFill>
      </fill>
    </dxf>
    <dxf>
      <fill>
        <patternFill patternType="solid">
          <fgColor indexed="64"/>
          <bgColor rgb="FFFFC0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scheme val="none"/>
      </font>
      <fill>
        <patternFill patternType="solid">
          <fgColor rgb="FF000000"/>
          <bgColor rgb="FFFFC00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rgb="FFFFC0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scheme val="minor"/>
      </font>
      <numFmt numFmtId="1" formatCode="0"/>
      <fill>
        <patternFill patternType="solid">
          <fgColor indexed="64"/>
          <bgColor theme="7" tint="0.599993896298104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scheme val="minor"/>
      </font>
      <numFmt numFmtId="1" formatCode="0"/>
      <fill>
        <patternFill patternType="solid">
          <fgColor indexed="64"/>
          <bgColor theme="7" tint="0.599993896298104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scheme val="minor"/>
      </font>
      <numFmt numFmtId="1" formatCode="0"/>
      <fill>
        <patternFill patternType="solid">
          <fgColor indexed="64"/>
          <bgColor theme="7" tint="0.599993896298104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scheme val="minor"/>
      </font>
      <numFmt numFmtId="1" formatCode="0"/>
      <fill>
        <patternFill patternType="solid">
          <fgColor indexed="64"/>
          <bgColor theme="7" tint="0.599993896298104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scheme val="minor"/>
      </font>
      <numFmt numFmtId="1" formatCode="0"/>
      <fill>
        <patternFill patternType="solid">
          <fgColor indexed="64"/>
          <bgColor theme="7" tint="0.599993896298104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scheme val="minor"/>
      </font>
      <numFmt numFmtId="1" formatCode="0"/>
      <fill>
        <patternFill patternType="solid">
          <fgColor indexed="64"/>
          <bgColor theme="7" tint="0.59999389629810485"/>
        </patternFill>
      </fill>
    </dxf>
    <dxf>
      <fill>
        <patternFill patternType="solid">
          <fgColor indexed="64"/>
          <bgColor theme="7" tint="0.59999389629810485"/>
        </patternFill>
      </fill>
    </dxf>
    <dxf>
      <fill>
        <patternFill patternType="solid">
          <fgColor indexed="64"/>
          <bgColor theme="7" tint="0.599993896298104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scheme val="none"/>
      </font>
      <fill>
        <patternFill patternType="solid">
          <fgColor rgb="FF000000"/>
          <bgColor rgb="FFFFE699"/>
        </patternFill>
      </fill>
    </dxf>
    <dxf>
      <fill>
        <patternFill patternType="solid">
          <fgColor indexed="64"/>
          <bgColor theme="7" tint="0.599993896298104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scheme val="minor"/>
      </font>
      <numFmt numFmtId="1" formatCode="0"/>
      <fill>
        <patternFill patternType="solid">
          <fgColor indexed="64"/>
          <bgColor rgb="FFFFC0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scheme val="minor"/>
      </font>
      <numFmt numFmtId="1" formatCode="0"/>
      <fill>
        <patternFill patternType="solid">
          <fgColor indexed="64"/>
          <bgColor rgb="FFFFC0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scheme val="minor"/>
      </font>
      <numFmt numFmtId="1" formatCode="0"/>
      <fill>
        <patternFill patternType="solid">
          <fgColor indexed="64"/>
          <bgColor rgb="FFFFC0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scheme val="minor"/>
      </font>
      <numFmt numFmtId="1" formatCode="0"/>
      <fill>
        <patternFill patternType="solid">
          <fgColor indexed="64"/>
          <bgColor rgb="FFFFC0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scheme val="minor"/>
      </font>
      <numFmt numFmtId="1" formatCode="0"/>
      <fill>
        <patternFill patternType="solid">
          <fgColor indexed="64"/>
          <bgColor rgb="FFFFC0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scheme val="minor"/>
      </font>
      <numFmt numFmtId="1" formatCode="0"/>
      <fill>
        <patternFill patternType="solid">
          <fgColor indexed="64"/>
          <bgColor rgb="FFFFC000"/>
        </patternFill>
      </fill>
    </dxf>
    <dxf>
      <fill>
        <patternFill patternType="solid">
          <fgColor indexed="64"/>
          <bgColor rgb="FFFFC000"/>
        </patternFill>
      </fill>
    </dxf>
    <dxf>
      <fill>
        <patternFill patternType="solid">
          <fgColor indexed="64"/>
          <bgColor rgb="FFFFC0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scheme val="none"/>
      </font>
      <fill>
        <patternFill patternType="solid">
          <fgColor rgb="FF000000"/>
          <bgColor rgb="FFFFC00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rgb="FFFFC0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scheme val="minor"/>
      </font>
      <numFmt numFmtId="1" formatCode="0"/>
      <fill>
        <patternFill patternType="solid">
          <fgColor indexed="64"/>
          <bgColor theme="7" tint="0.599993896298104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scheme val="minor"/>
      </font>
      <numFmt numFmtId="1" formatCode="0"/>
      <fill>
        <patternFill patternType="solid">
          <fgColor indexed="64"/>
          <bgColor theme="7" tint="0.599993896298104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scheme val="minor"/>
      </font>
      <numFmt numFmtId="1" formatCode="0"/>
      <fill>
        <patternFill patternType="solid">
          <fgColor indexed="64"/>
          <bgColor theme="7" tint="0.599993896298104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scheme val="minor"/>
      </font>
      <numFmt numFmtId="1" formatCode="0"/>
      <fill>
        <patternFill patternType="solid">
          <fgColor indexed="64"/>
          <bgColor theme="7" tint="0.599993896298104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scheme val="minor"/>
      </font>
      <numFmt numFmtId="1" formatCode="0"/>
      <fill>
        <patternFill patternType="solid">
          <fgColor indexed="64"/>
          <bgColor theme="7" tint="0.599993896298104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scheme val="minor"/>
      </font>
      <numFmt numFmtId="1" formatCode="0"/>
      <fill>
        <patternFill patternType="solid">
          <fgColor indexed="64"/>
          <bgColor theme="7" tint="0.59999389629810485"/>
        </patternFill>
      </fill>
    </dxf>
    <dxf>
      <fill>
        <patternFill patternType="solid">
          <fgColor indexed="64"/>
          <bgColor theme="7" tint="0.59999389629810485"/>
        </patternFill>
      </fill>
    </dxf>
    <dxf>
      <fill>
        <patternFill patternType="solid">
          <fgColor indexed="64"/>
          <bgColor theme="7" tint="0.599993896298104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scheme val="none"/>
      </font>
      <fill>
        <patternFill patternType="solid">
          <fgColor rgb="FF000000"/>
          <bgColor rgb="FFFFE699"/>
        </patternFill>
      </fill>
    </dxf>
    <dxf>
      <fill>
        <patternFill patternType="solid">
          <fgColor indexed="64"/>
          <bgColor theme="7" tint="0.599993896298104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scheme val="minor"/>
      </font>
      <numFmt numFmtId="1" formatCode="0"/>
      <fill>
        <patternFill patternType="solid">
          <fgColor indexed="64"/>
          <bgColor rgb="FFFFC0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scheme val="minor"/>
      </font>
      <numFmt numFmtId="1" formatCode="0"/>
      <fill>
        <patternFill patternType="solid">
          <fgColor indexed="64"/>
          <bgColor rgb="FFFFC0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scheme val="minor"/>
      </font>
      <numFmt numFmtId="1" formatCode="0"/>
      <fill>
        <patternFill patternType="solid">
          <fgColor indexed="64"/>
          <bgColor rgb="FFFFC0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scheme val="minor"/>
      </font>
      <numFmt numFmtId="1" formatCode="0"/>
      <fill>
        <patternFill patternType="solid">
          <fgColor indexed="64"/>
          <bgColor rgb="FFFFC0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scheme val="minor"/>
      </font>
      <numFmt numFmtId="1" formatCode="0"/>
      <fill>
        <patternFill patternType="solid">
          <fgColor indexed="64"/>
          <bgColor rgb="FFFFC0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scheme val="minor"/>
      </font>
      <numFmt numFmtId="1" formatCode="0"/>
      <fill>
        <patternFill patternType="solid">
          <fgColor indexed="64"/>
          <bgColor rgb="FFFFC000"/>
        </patternFill>
      </fill>
    </dxf>
    <dxf>
      <fill>
        <patternFill patternType="solid">
          <fgColor indexed="64"/>
          <bgColor rgb="FFFFC000"/>
        </patternFill>
      </fill>
    </dxf>
    <dxf>
      <fill>
        <patternFill patternType="solid">
          <fgColor indexed="64"/>
          <bgColor rgb="FFFFC0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scheme val="none"/>
      </font>
      <fill>
        <patternFill patternType="solid">
          <fgColor rgb="FF000000"/>
          <bgColor rgb="FFFFC00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rgb="FFFFC0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scheme val="minor"/>
      </font>
      <numFmt numFmtId="1" formatCode="0"/>
      <fill>
        <patternFill patternType="solid">
          <fgColor indexed="64"/>
          <bgColor theme="7" tint="0.599993896298104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scheme val="minor"/>
      </font>
      <numFmt numFmtId="1" formatCode="0"/>
      <fill>
        <patternFill patternType="solid">
          <fgColor indexed="64"/>
          <bgColor theme="7" tint="0.599993896298104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scheme val="minor"/>
      </font>
      <numFmt numFmtId="1" formatCode="0"/>
      <fill>
        <patternFill patternType="solid">
          <fgColor indexed="64"/>
          <bgColor theme="7" tint="0.599993896298104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scheme val="minor"/>
      </font>
      <numFmt numFmtId="1" formatCode="0"/>
      <fill>
        <patternFill patternType="solid">
          <fgColor indexed="64"/>
          <bgColor theme="7" tint="0.599993896298104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scheme val="minor"/>
      </font>
      <numFmt numFmtId="1" formatCode="0"/>
      <fill>
        <patternFill patternType="solid">
          <fgColor indexed="64"/>
          <bgColor theme="7" tint="0.599993896298104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scheme val="minor"/>
      </font>
      <numFmt numFmtId="1" formatCode="0"/>
      <fill>
        <patternFill patternType="solid">
          <fgColor indexed="64"/>
          <bgColor theme="7" tint="0.59999389629810485"/>
        </patternFill>
      </fill>
    </dxf>
    <dxf>
      <fill>
        <patternFill patternType="solid">
          <fgColor indexed="64"/>
          <bgColor theme="7" tint="0.59999389629810485"/>
        </patternFill>
      </fill>
    </dxf>
    <dxf>
      <fill>
        <patternFill patternType="solid">
          <fgColor indexed="64"/>
          <bgColor theme="7" tint="0.599993896298104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scheme val="none"/>
      </font>
      <fill>
        <patternFill patternType="solid">
          <fgColor rgb="FF000000"/>
          <bgColor rgb="FFFFE699"/>
        </patternFill>
      </fill>
    </dxf>
    <dxf>
      <fill>
        <patternFill patternType="solid">
          <fgColor indexed="64"/>
          <bgColor theme="7" tint="0.599993896298104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scheme val="minor"/>
      </font>
      <numFmt numFmtId="1" formatCode="0"/>
      <fill>
        <patternFill patternType="solid">
          <fgColor indexed="64"/>
          <bgColor rgb="FFFFC0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scheme val="minor"/>
      </font>
      <numFmt numFmtId="1" formatCode="0"/>
      <fill>
        <patternFill patternType="solid">
          <fgColor indexed="64"/>
          <bgColor rgb="FFFFC0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scheme val="minor"/>
      </font>
      <numFmt numFmtId="1" formatCode="0"/>
      <fill>
        <patternFill patternType="solid">
          <fgColor indexed="64"/>
          <bgColor rgb="FFFFC0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scheme val="minor"/>
      </font>
      <numFmt numFmtId="1" formatCode="0"/>
      <fill>
        <patternFill patternType="solid">
          <fgColor indexed="64"/>
          <bgColor rgb="FFFFC0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scheme val="minor"/>
      </font>
      <numFmt numFmtId="1" formatCode="0"/>
      <fill>
        <patternFill patternType="solid">
          <fgColor indexed="64"/>
          <bgColor rgb="FFFFC0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scheme val="minor"/>
      </font>
      <numFmt numFmtId="1" formatCode="0"/>
      <fill>
        <patternFill patternType="solid">
          <fgColor indexed="64"/>
          <bgColor rgb="FFFFC000"/>
        </patternFill>
      </fill>
    </dxf>
    <dxf>
      <fill>
        <patternFill patternType="solid">
          <fgColor indexed="64"/>
          <bgColor rgb="FFFFC000"/>
        </patternFill>
      </fill>
    </dxf>
    <dxf>
      <fill>
        <patternFill patternType="solid">
          <fgColor indexed="64"/>
          <bgColor rgb="FFFFC0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scheme val="minor"/>
      </font>
      <fill>
        <patternFill patternType="solid">
          <fgColor indexed="64"/>
          <bgColor rgb="FFFFC00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rgb="FFFFC0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scheme val="minor"/>
      </font>
      <numFmt numFmtId="1" formatCode="0"/>
      <fill>
        <patternFill patternType="solid">
          <fgColor indexed="64"/>
          <bgColor theme="7" tint="0.599993896298104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scheme val="minor"/>
      </font>
      <numFmt numFmtId="1" formatCode="0"/>
      <fill>
        <patternFill patternType="solid">
          <fgColor indexed="64"/>
          <bgColor theme="7" tint="0.599993896298104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scheme val="minor"/>
      </font>
      <numFmt numFmtId="1" formatCode="0"/>
      <fill>
        <patternFill patternType="solid">
          <fgColor indexed="64"/>
          <bgColor theme="7" tint="0.599993896298104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scheme val="minor"/>
      </font>
      <numFmt numFmtId="1" formatCode="0"/>
      <fill>
        <patternFill patternType="solid">
          <fgColor indexed="64"/>
          <bgColor theme="7" tint="0.599993896298104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scheme val="minor"/>
      </font>
      <numFmt numFmtId="1" formatCode="0"/>
      <fill>
        <patternFill patternType="solid">
          <fgColor indexed="64"/>
          <bgColor theme="7" tint="0.599993896298104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scheme val="minor"/>
      </font>
      <numFmt numFmtId="1" formatCode="0"/>
      <fill>
        <patternFill patternType="solid">
          <fgColor indexed="64"/>
          <bgColor theme="7" tint="0.59999389629810485"/>
        </patternFill>
      </fill>
    </dxf>
    <dxf>
      <fill>
        <patternFill patternType="solid">
          <fgColor indexed="64"/>
          <bgColor theme="7" tint="0.59999389629810485"/>
        </patternFill>
      </fill>
    </dxf>
    <dxf>
      <fill>
        <patternFill patternType="solid">
          <fgColor indexed="64"/>
          <bgColor theme="7" tint="0.599993896298104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scheme val="minor"/>
      </font>
      <fill>
        <patternFill patternType="solid">
          <fgColor indexed="64"/>
          <bgColor theme="7" tint="0.59999389629810485"/>
        </patternFill>
      </fill>
    </dxf>
    <dxf>
      <fill>
        <patternFill patternType="solid">
          <fgColor indexed="64"/>
          <bgColor theme="7" tint="0.599993896298104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scheme val="minor"/>
      </font>
      <numFmt numFmtId="1" formatCode="0"/>
      <fill>
        <patternFill patternType="solid">
          <fgColor indexed="64"/>
          <bgColor rgb="FFFFC0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scheme val="minor"/>
      </font>
      <numFmt numFmtId="1" formatCode="0"/>
      <fill>
        <patternFill patternType="solid">
          <fgColor indexed="64"/>
          <bgColor rgb="FFFFC0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scheme val="minor"/>
      </font>
      <numFmt numFmtId="1" formatCode="0"/>
      <fill>
        <patternFill patternType="solid">
          <fgColor indexed="64"/>
          <bgColor rgb="FFFFC0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scheme val="minor"/>
      </font>
      <numFmt numFmtId="1" formatCode="0"/>
      <fill>
        <patternFill patternType="solid">
          <fgColor indexed="64"/>
          <bgColor rgb="FFFFC0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scheme val="minor"/>
      </font>
      <numFmt numFmtId="1" formatCode="0"/>
      <fill>
        <patternFill patternType="solid">
          <fgColor indexed="64"/>
          <bgColor rgb="FFFFC0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scheme val="minor"/>
      </font>
      <numFmt numFmtId="1" formatCode="0"/>
      <fill>
        <patternFill patternType="solid">
          <fgColor indexed="64"/>
          <bgColor rgb="FFFFC000"/>
        </patternFill>
      </fill>
    </dxf>
    <dxf>
      <fill>
        <patternFill patternType="solid">
          <fgColor indexed="64"/>
          <bgColor rgb="FFFFC000"/>
        </patternFill>
      </fill>
    </dxf>
    <dxf>
      <fill>
        <patternFill patternType="solid">
          <fgColor indexed="64"/>
          <bgColor rgb="FFFFC0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scheme val="minor"/>
      </font>
      <fill>
        <patternFill patternType="solid">
          <fgColor indexed="64"/>
          <bgColor rgb="FFFFC00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rgb="FFFFC0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scheme val="minor"/>
      </font>
      <numFmt numFmtId="1" formatCode="0"/>
      <fill>
        <patternFill patternType="solid">
          <fgColor indexed="64"/>
          <bgColor theme="7" tint="0.599993896298104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scheme val="minor"/>
      </font>
      <numFmt numFmtId="1" formatCode="0"/>
      <fill>
        <patternFill patternType="solid">
          <fgColor indexed="64"/>
          <bgColor theme="7" tint="0.599993896298104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scheme val="minor"/>
      </font>
      <numFmt numFmtId="1" formatCode="0"/>
      <fill>
        <patternFill patternType="solid">
          <fgColor indexed="64"/>
          <bgColor theme="7" tint="0.599993896298104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scheme val="minor"/>
      </font>
      <numFmt numFmtId="1" formatCode="0"/>
      <fill>
        <patternFill patternType="solid">
          <fgColor indexed="64"/>
          <bgColor theme="7" tint="0.599993896298104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scheme val="minor"/>
      </font>
      <numFmt numFmtId="1" formatCode="0"/>
      <fill>
        <patternFill patternType="solid">
          <fgColor indexed="64"/>
          <bgColor theme="7" tint="0.599993896298104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scheme val="minor"/>
      </font>
      <numFmt numFmtId="1" formatCode="0"/>
      <fill>
        <patternFill patternType="solid">
          <fgColor indexed="64"/>
          <bgColor theme="7" tint="0.59999389629810485"/>
        </patternFill>
      </fill>
    </dxf>
    <dxf>
      <fill>
        <patternFill patternType="solid">
          <fgColor indexed="64"/>
          <bgColor theme="7" tint="0.59999389629810485"/>
        </patternFill>
      </fill>
    </dxf>
    <dxf>
      <fill>
        <patternFill patternType="solid">
          <fgColor indexed="64"/>
          <bgColor theme="7" tint="0.599993896298104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scheme val="minor"/>
      </font>
      <fill>
        <patternFill patternType="solid">
          <fgColor indexed="64"/>
          <bgColor theme="7" tint="0.59999389629810485"/>
        </patternFill>
      </fill>
    </dxf>
    <dxf>
      <fill>
        <patternFill patternType="solid">
          <fgColor indexed="64"/>
          <bgColor theme="7" tint="0.599993896298104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scheme val="minor"/>
      </font>
      <numFmt numFmtId="1" formatCode="0"/>
      <fill>
        <patternFill patternType="solid">
          <fgColor indexed="64"/>
          <bgColor rgb="FFFFC0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scheme val="minor"/>
      </font>
      <numFmt numFmtId="1" formatCode="0"/>
      <fill>
        <patternFill patternType="solid">
          <fgColor indexed="64"/>
          <bgColor rgb="FFFFC0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scheme val="minor"/>
      </font>
      <numFmt numFmtId="1" formatCode="0"/>
      <fill>
        <patternFill patternType="solid">
          <fgColor indexed="64"/>
          <bgColor rgb="FFFFC0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scheme val="minor"/>
      </font>
      <numFmt numFmtId="1" formatCode="0"/>
      <fill>
        <patternFill patternType="solid">
          <fgColor indexed="64"/>
          <bgColor rgb="FFFFC0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scheme val="minor"/>
      </font>
      <numFmt numFmtId="1" formatCode="0"/>
      <fill>
        <patternFill patternType="solid">
          <fgColor indexed="64"/>
          <bgColor rgb="FFFFC0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scheme val="minor"/>
      </font>
      <numFmt numFmtId="1" formatCode="0"/>
      <fill>
        <patternFill patternType="solid">
          <fgColor indexed="64"/>
          <bgColor rgb="FFFFC000"/>
        </patternFill>
      </fill>
    </dxf>
    <dxf>
      <fill>
        <patternFill patternType="solid">
          <fgColor indexed="64"/>
          <bgColor rgb="FFFFC000"/>
        </patternFill>
      </fill>
    </dxf>
    <dxf>
      <fill>
        <patternFill patternType="solid">
          <fgColor indexed="64"/>
          <bgColor rgb="FFFFC0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scheme val="minor"/>
      </font>
      <fill>
        <patternFill patternType="solid">
          <fgColor indexed="64"/>
          <bgColor rgb="FFFFC00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rgb="FFFFC0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scheme val="minor"/>
      </font>
      <numFmt numFmtId="1" formatCode="0"/>
      <fill>
        <patternFill patternType="solid">
          <fgColor indexed="64"/>
          <bgColor theme="7" tint="0.599993896298104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scheme val="minor"/>
      </font>
      <numFmt numFmtId="1" formatCode="0"/>
      <fill>
        <patternFill patternType="solid">
          <fgColor indexed="64"/>
          <bgColor theme="7" tint="0.599993896298104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scheme val="minor"/>
      </font>
      <numFmt numFmtId="1" formatCode="0"/>
      <fill>
        <patternFill patternType="solid">
          <fgColor indexed="64"/>
          <bgColor theme="7" tint="0.599993896298104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scheme val="minor"/>
      </font>
      <numFmt numFmtId="1" formatCode="0"/>
      <fill>
        <patternFill patternType="solid">
          <fgColor indexed="64"/>
          <bgColor theme="7" tint="0.599993896298104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scheme val="minor"/>
      </font>
      <numFmt numFmtId="1" formatCode="0"/>
      <fill>
        <patternFill patternType="solid">
          <fgColor indexed="64"/>
          <bgColor theme="7" tint="0.599993896298104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scheme val="minor"/>
      </font>
      <numFmt numFmtId="1" formatCode="0"/>
      <fill>
        <patternFill patternType="solid">
          <fgColor indexed="64"/>
          <bgColor theme="7" tint="0.59999389629810485"/>
        </patternFill>
      </fill>
    </dxf>
    <dxf>
      <fill>
        <patternFill patternType="solid">
          <fgColor indexed="64"/>
          <bgColor theme="7" tint="0.59999389629810485"/>
        </patternFill>
      </fill>
    </dxf>
    <dxf>
      <fill>
        <patternFill patternType="solid">
          <fgColor indexed="64"/>
          <bgColor theme="7" tint="0.599993896298104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scheme val="minor"/>
      </font>
      <fill>
        <patternFill patternType="solid">
          <fgColor indexed="64"/>
          <bgColor theme="7" tint="0.59999389629810485"/>
        </patternFill>
      </fill>
    </dxf>
    <dxf>
      <fill>
        <patternFill patternType="solid">
          <fgColor indexed="64"/>
          <bgColor theme="7" tint="0.599993896298104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scheme val="minor"/>
      </font>
      <numFmt numFmtId="1" formatCode="0"/>
      <fill>
        <patternFill patternType="solid">
          <fgColor indexed="64"/>
          <bgColor rgb="FFFFC0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scheme val="minor"/>
      </font>
      <numFmt numFmtId="1" formatCode="0"/>
      <fill>
        <patternFill patternType="solid">
          <fgColor indexed="64"/>
          <bgColor rgb="FFFFC0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scheme val="minor"/>
      </font>
      <numFmt numFmtId="1" formatCode="0"/>
      <fill>
        <patternFill patternType="solid">
          <fgColor indexed="64"/>
          <bgColor rgb="FFFFC0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scheme val="minor"/>
      </font>
      <numFmt numFmtId="1" formatCode="0"/>
      <fill>
        <patternFill patternType="solid">
          <fgColor indexed="64"/>
          <bgColor rgb="FFFFC0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scheme val="minor"/>
      </font>
      <numFmt numFmtId="1" formatCode="0"/>
      <fill>
        <patternFill patternType="solid">
          <fgColor indexed="64"/>
          <bgColor rgb="FFFFC0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scheme val="minor"/>
      </font>
      <numFmt numFmtId="1" formatCode="0"/>
      <fill>
        <patternFill patternType="solid">
          <fgColor indexed="64"/>
          <bgColor rgb="FFFFC000"/>
        </patternFill>
      </fill>
    </dxf>
    <dxf>
      <fill>
        <patternFill patternType="solid">
          <fgColor indexed="64"/>
          <bgColor rgb="FFFFC000"/>
        </patternFill>
      </fill>
    </dxf>
    <dxf>
      <fill>
        <patternFill patternType="solid">
          <fgColor indexed="64"/>
          <bgColor rgb="FFFFC0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scheme val="minor"/>
      </font>
      <fill>
        <patternFill patternType="solid">
          <fgColor indexed="64"/>
          <bgColor rgb="FFFFC00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rgb="FFFFC0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scheme val="minor"/>
      </font>
      <numFmt numFmtId="1" formatCode="0"/>
      <fill>
        <patternFill patternType="solid">
          <fgColor indexed="64"/>
          <bgColor theme="7" tint="0.599993896298104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scheme val="minor"/>
      </font>
      <numFmt numFmtId="1" formatCode="0"/>
      <fill>
        <patternFill patternType="solid">
          <fgColor indexed="64"/>
          <bgColor theme="7" tint="0.599993896298104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scheme val="minor"/>
      </font>
      <numFmt numFmtId="1" formatCode="0"/>
      <fill>
        <patternFill patternType="solid">
          <fgColor indexed="64"/>
          <bgColor theme="7" tint="0.599993896298104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scheme val="minor"/>
      </font>
      <numFmt numFmtId="1" formatCode="0"/>
      <fill>
        <patternFill patternType="solid">
          <fgColor indexed="64"/>
          <bgColor theme="7" tint="0.599993896298104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scheme val="minor"/>
      </font>
      <numFmt numFmtId="1" formatCode="0"/>
      <fill>
        <patternFill patternType="solid">
          <fgColor indexed="64"/>
          <bgColor theme="7" tint="0.599993896298104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scheme val="minor"/>
      </font>
      <numFmt numFmtId="1" formatCode="0"/>
      <fill>
        <patternFill patternType="solid">
          <fgColor indexed="64"/>
          <bgColor theme="7" tint="0.59999389629810485"/>
        </patternFill>
      </fill>
    </dxf>
    <dxf>
      <fill>
        <patternFill patternType="solid">
          <fgColor indexed="64"/>
          <bgColor theme="7" tint="0.59999389629810485"/>
        </patternFill>
      </fill>
    </dxf>
    <dxf>
      <fill>
        <patternFill patternType="solid">
          <fgColor indexed="64"/>
          <bgColor theme="7" tint="0.599993896298104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scheme val="minor"/>
      </font>
      <fill>
        <patternFill patternType="solid">
          <fgColor indexed="64"/>
          <bgColor theme="7" tint="0.59999389629810485"/>
        </patternFill>
      </fill>
    </dxf>
    <dxf>
      <fill>
        <patternFill patternType="solid">
          <fgColor indexed="64"/>
          <bgColor theme="7" tint="0.59999389629810485"/>
        </patternFill>
      </fill>
    </dxf>
    <dxf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  <protection locked="0" hidden="0"/>
    </dxf>
    <dxf>
      <border outline="0">
        <top style="thin">
          <color theme="0"/>
        </top>
      </border>
    </dxf>
    <dxf>
      <border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protection locked="0" hidden="0"/>
    </dxf>
    <dxf>
      <border outline="0">
        <bottom style="thin">
          <color theme="0"/>
        </bottom>
      </border>
    </dxf>
    <dxf>
      <protection locked="0" hidden="0"/>
    </dxf>
  </dxfs>
  <tableStyles count="0" defaultTableStyle="TableStyleMedium2" defaultPivotStyle="PivotStyleLight16"/>
  <colors>
    <mruColors>
      <color rgb="FFFF99FF"/>
      <color rgb="FFCC99FF"/>
      <color rgb="FFFFCCFF"/>
      <color rgb="FFCCCCFF"/>
      <color rgb="FFFFCCCC"/>
      <color rgb="FFFFFFCC"/>
      <color rgb="FFFF9999"/>
      <color rgb="FFEBE60C"/>
      <color rgb="FF008000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Response_Prevention!$AA$15</c:f>
          <c:strCache>
            <c:ptCount val="1"/>
            <c:pt idx="0">
              <c:v>Surface Patrol Hours Underway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19201049649"/>
          <c:w val="0.80866970576046415"/>
          <c:h val="0.8031867502007156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>
                <a:lumMod val="60000"/>
                <a:lumOff val="40000"/>
              </a:schemeClr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RBS!$AT$5:$AY$5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Response_Prevention!$AT$3:$AY$3</c:f>
              <c:numCache>
                <c:formatCode>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4D9-4855-B72B-FCF139CF0403}"/>
            </c:ext>
          </c:extLst>
        </c:ser>
        <c:ser>
          <c:idx val="2"/>
          <c:order val="1"/>
          <c:spPr>
            <a:solidFill>
              <a:srgbClr val="00206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RBS!$AT$5:$AY$5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Response_Prevention!$AT$4:$AY$4</c:f>
              <c:numCache>
                <c:formatCode>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4D9-4855-B72B-FCF139CF04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chemeClr val="accent1">
        <a:lumMod val="40000"/>
        <a:lumOff val="60000"/>
      </a:scheme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Support!$AA$18</c:f>
          <c:strCache>
            <c:ptCount val="1"/>
            <c:pt idx="0">
              <c:v>Public Affairs Hours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19201049649"/>
          <c:w val="0.80866970576046415"/>
          <c:h val="0.8031867502007156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F66FF"/>
            </a:solidFill>
            <a:ln>
              <a:solidFill>
                <a:schemeClr val="tx1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FF66FF"/>
              </a:solidFill>
              <a:ln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56F2-4F81-9FF5-8477C677AC3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Support!$AT$5:$AY$5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Support!$AT$6:$AY$6</c:f>
              <c:numCache>
                <c:formatCode>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6F2-4F81-9FF5-8477C677AC31}"/>
            </c:ext>
          </c:extLst>
        </c:ser>
        <c:ser>
          <c:idx val="2"/>
          <c:order val="1"/>
          <c:spPr>
            <a:solidFill>
              <a:srgbClr val="CC00CC"/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numRef>
              <c:f>Support!$AT$5:$AY$5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Support!$AT$7:$AY$7</c:f>
              <c:numCache>
                <c:formatCode>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6F2-4F81-9FF5-8477C677AC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FFCCFF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Support!$AA$21</c:f>
          <c:strCache>
            <c:ptCount val="1"/>
            <c:pt idx="0">
              <c:v>Ops Assistance to CG Hours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19201049649"/>
          <c:w val="0.80866970576046415"/>
          <c:h val="0.8031867502007156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>
                <a:lumMod val="40000"/>
                <a:lumOff val="60000"/>
              </a:schemeClr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Support!$AT$5:$AY$5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Support!$AT$9:$AY$9</c:f>
              <c:numCache>
                <c:formatCode>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16C-4269-9D09-8E9BEE9A480A}"/>
            </c:ext>
          </c:extLst>
        </c:ser>
        <c:ser>
          <c:idx val="2"/>
          <c:order val="1"/>
          <c:spPr>
            <a:solidFill>
              <a:srgbClr val="00206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Support!$AT$5:$AY$5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Support!$AT$10:$AY$10</c:f>
              <c:numCache>
                <c:formatCode>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16C-4269-9D09-8E9BEE9A48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chemeClr val="bg1">
        <a:lumMod val="85000"/>
      </a:scheme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Support!$AA$24</c:f>
          <c:strCache>
            <c:ptCount val="1"/>
            <c:pt idx="0">
              <c:v>Admin Assistance to CG Hours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19201049649"/>
          <c:w val="0.80866970576046415"/>
          <c:h val="0.8031867502007156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2D05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Support!$AT$5:$AY$5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Support!$AT$12:$AY$12</c:f>
              <c:numCache>
                <c:formatCode>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D8-4470-AD87-9931596DA1A0}"/>
            </c:ext>
          </c:extLst>
        </c:ser>
        <c:ser>
          <c:idx val="2"/>
          <c:order val="1"/>
          <c:spPr>
            <a:solidFill>
              <a:schemeClr val="accent6">
                <a:lumMod val="75000"/>
              </a:schemeClr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Support!$AT$5:$AY$5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Support!$AT$13:$AY$13</c:f>
              <c:numCache>
                <c:formatCode>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D8-4470-AD87-9931596DA1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chemeClr val="bg1">
        <a:lumMod val="85000"/>
      </a:scheme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Augmentation!$AA$15</c:f>
          <c:strCache>
            <c:ptCount val="1"/>
            <c:pt idx="0">
              <c:v>Culinary Assistance Hours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19201049649"/>
          <c:w val="0.80866970576046415"/>
          <c:h val="0.8031867502007156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2">
                <a:lumMod val="60000"/>
                <a:lumOff val="40000"/>
              </a:schemeClr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Augmentation!$AT$5:$AY$5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Augmentation!$AT$3:$AY$3</c:f>
              <c:numCache>
                <c:formatCode>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5A0-4467-AFE0-0F75D56EBBDA}"/>
            </c:ext>
          </c:extLst>
        </c:ser>
        <c:ser>
          <c:idx val="2"/>
          <c:order val="1"/>
          <c:spPr>
            <a:solidFill>
              <a:schemeClr val="accent2">
                <a:lumMod val="75000"/>
              </a:schemeClr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Augmentation!$AT$5:$AY$5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Augmentation!$AT$4:$AY$4</c:f>
              <c:numCache>
                <c:formatCode>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5A0-4467-AFE0-0F75D56EBB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chemeClr val="accent2">
        <a:lumMod val="20000"/>
        <a:lumOff val="80000"/>
      </a:scheme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Augmentation!$AA$18</c:f>
          <c:strCache>
            <c:ptCount val="1"/>
            <c:pt idx="0">
              <c:v>Clergy Assistance Hours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19201049649"/>
          <c:w val="0.80866970576046415"/>
          <c:h val="0.8031867502007156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CC99FF"/>
            </a:solidFill>
            <a:ln>
              <a:solidFill>
                <a:schemeClr val="tx1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CC99FF"/>
              </a:solidFill>
              <a:ln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F96E-4FB2-AF07-9C9750B3221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Augmentation!$AT$5:$AY$5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Augmentation!$AT$6:$AY$6</c:f>
              <c:numCache>
                <c:formatCode>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96E-4FB2-AF07-9C9750B3221C}"/>
            </c:ext>
          </c:extLst>
        </c:ser>
        <c:ser>
          <c:idx val="2"/>
          <c:order val="1"/>
          <c:spPr>
            <a:solidFill>
              <a:srgbClr val="7030A0"/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numRef>
              <c:f>Augmentation!$AT$5:$AY$5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Augmentation!$AT$7:$AY$7</c:f>
              <c:numCache>
                <c:formatCode>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96E-4FB2-AF07-9C9750B322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CCCCFF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Augmentation!$AA$21</c:f>
          <c:strCache>
            <c:ptCount val="1"/>
            <c:pt idx="0">
              <c:v>USCG Recruiting Hours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19201049649"/>
          <c:w val="0.80866970576046415"/>
          <c:h val="0.8031867502007156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2D05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Augmentation!$AT$5:$AY$5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Augmentation!$AT$9:$AY$9</c:f>
              <c:numCache>
                <c:formatCode>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B7E-47ED-9326-CE5AD0AB15EA}"/>
            </c:ext>
          </c:extLst>
        </c:ser>
        <c:ser>
          <c:idx val="2"/>
          <c:order val="1"/>
          <c:spPr>
            <a:solidFill>
              <a:srgbClr val="008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Augmentation!$AT$5:$AY$5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Augmentation!$AT$10:$AY$10</c:f>
              <c:numCache>
                <c:formatCode>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B7E-47ED-9326-CE5AD0AB15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EBE60C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Augmentation!$AA$24</c:f>
          <c:strCache>
            <c:ptCount val="1"/>
            <c:pt idx="0">
              <c:v>Healthcare Hours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19201049649"/>
          <c:w val="0.80866970576046415"/>
          <c:h val="0.8031867502007156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Augmentation!$AT$5:$AY$5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Augmentation!$AT$12:$AY$12</c:f>
              <c:numCache>
                <c:formatCode>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1BE-48FC-ABB3-1CC3453A71A8}"/>
            </c:ext>
          </c:extLst>
        </c:ser>
        <c:ser>
          <c:idx val="2"/>
          <c:order val="1"/>
          <c:spPr>
            <a:solidFill>
              <a:srgbClr val="C00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Augmentation!$AT$5:$AY$5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Augmentation!$AT$13:$AY$13</c:f>
              <c:numCache>
                <c:formatCode>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1BE-48FC-ABB3-1CC3453A71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FFCCCC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Personnel!$AA$15</c:f>
          <c:strCache>
            <c:ptCount val="1"/>
            <c:pt idx="0">
              <c:v>Membership Level This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19201049649"/>
          <c:w val="0.80866970576046415"/>
          <c:h val="0.8031867502007156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70C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Personnel!$AT$5:$AY$5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Personnel!$AT$3:$AY$3</c:f>
              <c:numCache>
                <c:formatCode>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DE0-4B16-92FA-AED8683503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FFC000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Personnel!$AA$18</c:f>
          <c:strCache>
            <c:ptCount val="1"/>
            <c:pt idx="0">
              <c:v>New Members YTD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19201049649"/>
          <c:w val="0.80866970576046415"/>
          <c:h val="0.8031867502007156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6">
                <a:lumMod val="60000"/>
                <a:lumOff val="40000"/>
              </a:schemeClr>
            </a:solidFill>
            <a:ln>
              <a:solidFill>
                <a:schemeClr val="tx1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0D91-419A-A998-CADC50C20C7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Personnel!$AT$5:$AY$5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Personnel!$AT$6:$AY$6</c:f>
              <c:numCache>
                <c:formatCode>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D91-419A-A998-CADC50C20C72}"/>
            </c:ext>
          </c:extLst>
        </c:ser>
        <c:ser>
          <c:idx val="2"/>
          <c:order val="1"/>
          <c:spPr>
            <a:solidFill>
              <a:srgbClr val="008000"/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numRef>
              <c:f>Personnel!$AT$5:$AY$5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Personnel!$AT$7:$AY$7</c:f>
              <c:numCache>
                <c:formatCode>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D91-419A-A998-CADC50C20C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chemeClr val="accent6">
        <a:lumMod val="40000"/>
        <a:lumOff val="60000"/>
      </a:scheme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Personnel!$AA$21</c:f>
          <c:strCache>
            <c:ptCount val="1"/>
            <c:pt idx="0">
              <c:v>Voluntary Disenrollments YTD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19201049649"/>
          <c:w val="0.80866970576046415"/>
          <c:h val="0.8031867502007156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Personnel!$AT$8:$AY$8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Personnel!$AT$9:$AY$9</c:f>
              <c:numCache>
                <c:formatCode>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A2A-4C1C-9DEC-56CBC3F7FF39}"/>
            </c:ext>
          </c:extLst>
        </c:ser>
        <c:ser>
          <c:idx val="2"/>
          <c:order val="1"/>
          <c:spPr>
            <a:solidFill>
              <a:srgbClr val="C00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Personnel!$AT$8:$AY$8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Personnel!$AT$10:$AY$10</c:f>
              <c:numCache>
                <c:formatCode>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A2A-4C1C-9DEC-56CBC3F7FF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FFCCCC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Response_Prevention!$AA$18</c:f>
          <c:strCache>
            <c:ptCount val="1"/>
            <c:pt idx="0">
              <c:v>Air Patrol Hours Airborne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19201049649"/>
          <c:w val="0.80866970576046415"/>
          <c:h val="0.8031867502007156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5">
                <a:lumMod val="40000"/>
                <a:lumOff val="60000"/>
              </a:schemeClr>
            </a:solidFill>
            <a:ln>
              <a:solidFill>
                <a:schemeClr val="tx1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5">
                  <a:lumMod val="40000"/>
                  <a:lumOff val="60000"/>
                </a:schemeClr>
              </a:solidFill>
              <a:ln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456F-4784-A177-C0B0F0FA443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Response_Prevention!$AT$5:$AY$5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Response_Prevention!$AT$6:$AY$6</c:f>
              <c:numCache>
                <c:formatCode>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56F-4784-A177-C0B0F0FA443C}"/>
            </c:ext>
          </c:extLst>
        </c:ser>
        <c:ser>
          <c:idx val="2"/>
          <c:order val="1"/>
          <c:spPr>
            <a:solidFill>
              <a:srgbClr val="00B0F0"/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numRef>
              <c:f>Response_Prevention!$AT$5:$AY$5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Response_Prevention!$AT$7:$AY$7</c:f>
              <c:numCache>
                <c:formatCode>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56F-4784-A177-C0B0F0FA44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Response_Prevention!$AA$21</c:f>
          <c:strCache>
            <c:ptCount val="1"/>
            <c:pt idx="0">
              <c:v>Marine Safety and MEP Hours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19201049649"/>
          <c:w val="0.80866970576046415"/>
          <c:h val="0.8031867502007156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6">
                <a:lumMod val="60000"/>
                <a:lumOff val="40000"/>
              </a:schemeClr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Response_Prevention!$AT$5:$AY$5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Response_Prevention!$AT$9:$AY$9</c:f>
              <c:numCache>
                <c:formatCode>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44E-4EA3-9A0B-BA8D5A108796}"/>
            </c:ext>
          </c:extLst>
        </c:ser>
        <c:ser>
          <c:idx val="2"/>
          <c:order val="1"/>
          <c:spPr>
            <a:solidFill>
              <a:srgbClr val="008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Response_Prevention!$AT$5:$AY$5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Response_Prevention!$AT$10:$AY$10</c:f>
              <c:numCache>
                <c:formatCode>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44E-4EA3-9A0B-BA8D5A1087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chemeClr val="accent6">
        <a:lumMod val="40000"/>
        <a:lumOff val="60000"/>
      </a:scheme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Response_Prevention!$AA$24</c:f>
          <c:strCache>
            <c:ptCount val="1"/>
            <c:pt idx="0">
              <c:v>Navaids Examined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19201049649"/>
          <c:w val="0.80866970576046415"/>
          <c:h val="0.8031867502007156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4">
                <a:lumMod val="60000"/>
                <a:lumOff val="40000"/>
              </a:schemeClr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Response_Prevention!$AT$5:$AY$5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Response_Prevention!$AT$12:$AY$12</c:f>
              <c:numCache>
                <c:formatCode>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9FA-4F94-BACA-4E320E926263}"/>
            </c:ext>
          </c:extLst>
        </c:ser>
        <c:ser>
          <c:idx val="2"/>
          <c:order val="1"/>
          <c:spPr>
            <a:solidFill>
              <a:srgbClr val="FFC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Response_Prevention!$AT$5:$AY$5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Response_Prevention!$AT$13:$AY$13</c:f>
              <c:numCache>
                <c:formatCode>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9FA-4F94-BACA-4E320E9262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chemeClr val="accent1">
        <a:lumMod val="40000"/>
        <a:lumOff val="60000"/>
      </a:scheme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RBS!$AA$15</c:f>
          <c:strCache>
            <c:ptCount val="1"/>
            <c:pt idx="0">
              <c:v>Vessel Safety Checks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19201049649"/>
          <c:w val="0.80866970576046415"/>
          <c:h val="0.8031867502007156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F9999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RBS!$AT$5:$AY$5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RBS!$AT$3:$AY$3</c:f>
              <c:numCache>
                <c:formatCode>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2C1-448B-A833-DA91941A5E1C}"/>
            </c:ext>
          </c:extLst>
        </c:ser>
        <c:ser>
          <c:idx val="2"/>
          <c:order val="1"/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RBS!$AT$5:$AY$5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RBS!$AT$4:$AY$4</c:f>
              <c:numCache>
                <c:formatCode>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2C1-448B-A833-DA91941A5E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FFCCCC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RBS!$AA$18</c:f>
          <c:strCache>
            <c:ptCount val="1"/>
            <c:pt idx="0">
              <c:v>Paddlecraft Safety Checks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19201049649"/>
          <c:w val="0.80866970576046415"/>
          <c:h val="0.8031867502007156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F9999"/>
            </a:solidFill>
            <a:ln>
              <a:solidFill>
                <a:schemeClr val="tx1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FF9999"/>
              </a:solidFill>
              <a:ln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2E10-482A-A66E-7B8E624D1E7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RBS!$AT$5:$AY$5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RBS!$AT$6:$AY$6</c:f>
              <c:numCache>
                <c:formatCode>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E10-482A-A66E-7B8E624D1E70}"/>
            </c:ext>
          </c:extLst>
        </c:ser>
        <c:ser>
          <c:idx val="2"/>
          <c:order val="1"/>
          <c:spPr>
            <a:solidFill>
              <a:srgbClr val="FF0000"/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numRef>
              <c:f>RBS!$AT$5:$AY$5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RBS!$AT$7:$AY$7</c:f>
              <c:numCache>
                <c:formatCode>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E10-482A-A66E-7B8E624D1E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FFCCCC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RBS!$AA$21</c:f>
          <c:strCache>
            <c:ptCount val="1"/>
            <c:pt idx="0">
              <c:v>RBS Visits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19201049649"/>
          <c:w val="0.80866970576046415"/>
          <c:h val="0.8031867502007156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6">
                <a:lumMod val="60000"/>
                <a:lumOff val="40000"/>
              </a:schemeClr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RBS!$AT$5:$AY$5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RBS!$AT$9:$AY$9</c:f>
              <c:numCache>
                <c:formatCode>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BA7-4C80-AEEE-AD0DDB46C634}"/>
            </c:ext>
          </c:extLst>
        </c:ser>
        <c:ser>
          <c:idx val="2"/>
          <c:order val="1"/>
          <c:spPr>
            <a:solidFill>
              <a:srgbClr val="008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RBS!$AT$5:$AY$5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RBS!$AT$10:$AY$10</c:f>
              <c:numCache>
                <c:formatCode>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BA7-4C80-AEEE-AD0DDB46C6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chemeClr val="accent6">
        <a:lumMod val="20000"/>
        <a:lumOff val="80000"/>
      </a:scheme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RBS!$AA$24</c:f>
          <c:strCache>
            <c:ptCount val="1"/>
            <c:pt idx="0">
              <c:v>PE Graduates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19201049649"/>
          <c:w val="0.80866970576046415"/>
          <c:h val="0.8031867502007156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4">
                <a:lumMod val="60000"/>
                <a:lumOff val="40000"/>
              </a:schemeClr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RBS!$AT$5:$AY$5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RBS!$AT$12:$AY$12</c:f>
              <c:numCache>
                <c:formatCode>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C0D-424B-A02A-C35C5FA83627}"/>
            </c:ext>
          </c:extLst>
        </c:ser>
        <c:ser>
          <c:idx val="2"/>
          <c:order val="1"/>
          <c:spPr>
            <a:solidFill>
              <a:srgbClr val="FFC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RBS!$AT$5:$AY$5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RBS!$AT$13:$AY$13</c:f>
              <c:numCache>
                <c:formatCode>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C0D-424B-A02A-C35C5FA836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chemeClr val="accent4">
        <a:lumMod val="20000"/>
        <a:lumOff val="80000"/>
      </a:scheme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Support!$AA$15</c:f>
          <c:strCache>
            <c:ptCount val="1"/>
            <c:pt idx="0">
              <c:v>Member Training Hours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19201049649"/>
          <c:w val="0.80866970576046415"/>
          <c:h val="0.8031867502007156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FFF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Support!$AT$5:$AY$5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Support!$AT$3:$AY$3</c:f>
              <c:numCache>
                <c:formatCode>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8E5-41FF-B697-4885C8921F0D}"/>
            </c:ext>
          </c:extLst>
        </c:ser>
        <c:ser>
          <c:idx val="2"/>
          <c:order val="1"/>
          <c:spPr>
            <a:solidFill>
              <a:srgbClr val="EBE60C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Support!$AT$5:$AY$5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Support!$AT$4:$AY$4</c:f>
              <c:numCache>
                <c:formatCode>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8E5-41FF-B697-4885C8921F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FFFFCC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2.png"/><Relationship Id="rId4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5" Type="http://schemas.openxmlformats.org/officeDocument/2006/relationships/image" Target="../media/image3.png"/><Relationship Id="rId4" Type="http://schemas.openxmlformats.org/officeDocument/2006/relationships/chart" Target="../charts/chart8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2.png"/><Relationship Id="rId4" Type="http://schemas.openxmlformats.org/officeDocument/2006/relationships/chart" Target="../charts/chart12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5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5" Type="http://schemas.openxmlformats.org/officeDocument/2006/relationships/image" Target="../media/image2.png"/><Relationship Id="rId4" Type="http://schemas.openxmlformats.org/officeDocument/2006/relationships/chart" Target="../charts/chart16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8.xml"/><Relationship Id="rId1" Type="http://schemas.openxmlformats.org/officeDocument/2006/relationships/chart" Target="../charts/chart17.xml"/><Relationship Id="rId4" Type="http://schemas.openxmlformats.org/officeDocument/2006/relationships/chart" Target="../charts/chart1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1028701</xdr:colOff>
      <xdr:row>5</xdr:row>
      <xdr:rowOff>175260</xdr:rowOff>
    </xdr:from>
    <xdr:to>
      <xdr:col>0</xdr:col>
      <xdr:colOff>2522651</xdr:colOff>
      <xdr:row>13</xdr:row>
      <xdr:rowOff>30480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F0683A7F-AC7D-9295-BACE-406061ED16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1" y="1485900"/>
          <a:ext cx="1493950" cy="18288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3657600</xdr:colOff>
      <xdr:row>22</xdr:row>
      <xdr:rowOff>162560</xdr:rowOff>
    </xdr:to>
    <xdr:graphicFrame macro="">
      <xdr:nvGraphicFramePr>
        <xdr:cNvPr id="57" name="Chart 56">
          <a:extLst>
            <a:ext uri="{FF2B5EF4-FFF2-40B4-BE49-F238E27FC236}">
              <a16:creationId xmlns:a16="http://schemas.microsoft.com/office/drawing/2014/main" id="{00000000-0008-0000-0100-00003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0</xdr:colOff>
      <xdr:row>3</xdr:row>
      <xdr:rowOff>0</xdr:rowOff>
    </xdr:from>
    <xdr:to>
      <xdr:col>5</xdr:col>
      <xdr:colOff>3657600</xdr:colOff>
      <xdr:row>22</xdr:row>
      <xdr:rowOff>162560</xdr:rowOff>
    </xdr:to>
    <xdr:graphicFrame macro="">
      <xdr:nvGraphicFramePr>
        <xdr:cNvPr id="125" name="Chart 124">
          <a:extLst>
            <a:ext uri="{FF2B5EF4-FFF2-40B4-BE49-F238E27FC236}">
              <a16:creationId xmlns:a16="http://schemas.microsoft.com/office/drawing/2014/main" id="{00000000-0008-0000-0100-00007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0</xdr:colOff>
      <xdr:row>3</xdr:row>
      <xdr:rowOff>0</xdr:rowOff>
    </xdr:from>
    <xdr:to>
      <xdr:col>7</xdr:col>
      <xdr:colOff>3657600</xdr:colOff>
      <xdr:row>22</xdr:row>
      <xdr:rowOff>162560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0</xdr:colOff>
      <xdr:row>3</xdr:row>
      <xdr:rowOff>0</xdr:rowOff>
    </xdr:from>
    <xdr:to>
      <xdr:col>9</xdr:col>
      <xdr:colOff>3657600</xdr:colOff>
      <xdr:row>22</xdr:row>
      <xdr:rowOff>162560</xdr:rowOff>
    </xdr:to>
    <xdr:graphicFrame macro="">
      <xdr:nvGraphicFramePr>
        <xdr:cNvPr id="26" name="Chart 25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</xdr:col>
      <xdr:colOff>1201420</xdr:colOff>
      <xdr:row>15</xdr:row>
      <xdr:rowOff>165100</xdr:rowOff>
    </xdr:from>
    <xdr:to>
      <xdr:col>1</xdr:col>
      <xdr:colOff>2321559</xdr:colOff>
      <xdr:row>23</xdr:row>
      <xdr:rowOff>73660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BAE67D65-4901-0D35-9F4B-C53CC1E2C8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379220" y="2908300"/>
          <a:ext cx="1120139" cy="133096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3657600</xdr:colOff>
      <xdr:row>22</xdr:row>
      <xdr:rowOff>162560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0</xdr:colOff>
      <xdr:row>3</xdr:row>
      <xdr:rowOff>0</xdr:rowOff>
    </xdr:from>
    <xdr:to>
      <xdr:col>5</xdr:col>
      <xdr:colOff>3657600</xdr:colOff>
      <xdr:row>22</xdr:row>
      <xdr:rowOff>162560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0</xdr:colOff>
      <xdr:row>3</xdr:row>
      <xdr:rowOff>0</xdr:rowOff>
    </xdr:from>
    <xdr:to>
      <xdr:col>7</xdr:col>
      <xdr:colOff>3657600</xdr:colOff>
      <xdr:row>22</xdr:row>
      <xdr:rowOff>162560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0</xdr:colOff>
      <xdr:row>3</xdr:row>
      <xdr:rowOff>0</xdr:rowOff>
    </xdr:from>
    <xdr:to>
      <xdr:col>9</xdr:col>
      <xdr:colOff>3657600</xdr:colOff>
      <xdr:row>22</xdr:row>
      <xdr:rowOff>162560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</xdr:col>
      <xdr:colOff>1219200</xdr:colOff>
      <xdr:row>15</xdr:row>
      <xdr:rowOff>76200</xdr:rowOff>
    </xdr:from>
    <xdr:to>
      <xdr:col>1</xdr:col>
      <xdr:colOff>2340961</xdr:colOff>
      <xdr:row>22</xdr:row>
      <xdr:rowOff>160643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108259B3-39E8-2587-D68B-38B96F943F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397000" y="2819400"/>
          <a:ext cx="1121761" cy="132904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3657600</xdr:colOff>
      <xdr:row>22</xdr:row>
      <xdr:rowOff>162560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0</xdr:colOff>
      <xdr:row>3</xdr:row>
      <xdr:rowOff>0</xdr:rowOff>
    </xdr:from>
    <xdr:to>
      <xdr:col>5</xdr:col>
      <xdr:colOff>3657600</xdr:colOff>
      <xdr:row>22</xdr:row>
      <xdr:rowOff>162560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0</xdr:colOff>
      <xdr:row>3</xdr:row>
      <xdr:rowOff>0</xdr:rowOff>
    </xdr:from>
    <xdr:to>
      <xdr:col>7</xdr:col>
      <xdr:colOff>3657600</xdr:colOff>
      <xdr:row>22</xdr:row>
      <xdr:rowOff>162560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0</xdr:colOff>
      <xdr:row>3</xdr:row>
      <xdr:rowOff>0</xdr:rowOff>
    </xdr:from>
    <xdr:to>
      <xdr:col>9</xdr:col>
      <xdr:colOff>3657600</xdr:colOff>
      <xdr:row>22</xdr:row>
      <xdr:rowOff>162560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</xdr:col>
      <xdr:colOff>1214120</xdr:colOff>
      <xdr:row>15</xdr:row>
      <xdr:rowOff>76200</xdr:rowOff>
    </xdr:from>
    <xdr:to>
      <xdr:col>1</xdr:col>
      <xdr:colOff>2334259</xdr:colOff>
      <xdr:row>22</xdr:row>
      <xdr:rowOff>162560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C56FFF9D-86C8-4D4D-BDCC-51D1BB579D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391920" y="2819400"/>
          <a:ext cx="1120139" cy="133096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3657600</xdr:colOff>
      <xdr:row>22</xdr:row>
      <xdr:rowOff>162560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0</xdr:colOff>
      <xdr:row>3</xdr:row>
      <xdr:rowOff>0</xdr:rowOff>
    </xdr:from>
    <xdr:to>
      <xdr:col>5</xdr:col>
      <xdr:colOff>3657600</xdr:colOff>
      <xdr:row>22</xdr:row>
      <xdr:rowOff>162560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0</xdr:colOff>
      <xdr:row>3</xdr:row>
      <xdr:rowOff>0</xdr:rowOff>
    </xdr:from>
    <xdr:to>
      <xdr:col>7</xdr:col>
      <xdr:colOff>3657600</xdr:colOff>
      <xdr:row>22</xdr:row>
      <xdr:rowOff>162560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0</xdr:colOff>
      <xdr:row>3</xdr:row>
      <xdr:rowOff>0</xdr:rowOff>
    </xdr:from>
    <xdr:to>
      <xdr:col>9</xdr:col>
      <xdr:colOff>3657600</xdr:colOff>
      <xdr:row>22</xdr:row>
      <xdr:rowOff>162560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</xdr:col>
      <xdr:colOff>1219200</xdr:colOff>
      <xdr:row>15</xdr:row>
      <xdr:rowOff>63500</xdr:rowOff>
    </xdr:from>
    <xdr:to>
      <xdr:col>1</xdr:col>
      <xdr:colOff>2339339</xdr:colOff>
      <xdr:row>22</xdr:row>
      <xdr:rowOff>149860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95469106-EA9C-41E3-BBCB-C4DD7ABEEF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397000" y="2806700"/>
          <a:ext cx="1120139" cy="133096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3657600</xdr:colOff>
      <xdr:row>22</xdr:row>
      <xdr:rowOff>162560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0</xdr:colOff>
      <xdr:row>3</xdr:row>
      <xdr:rowOff>0</xdr:rowOff>
    </xdr:from>
    <xdr:to>
      <xdr:col>5</xdr:col>
      <xdr:colOff>3657600</xdr:colOff>
      <xdr:row>22</xdr:row>
      <xdr:rowOff>162560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</xdr:col>
      <xdr:colOff>1214120</xdr:colOff>
      <xdr:row>15</xdr:row>
      <xdr:rowOff>101600</xdr:rowOff>
    </xdr:from>
    <xdr:to>
      <xdr:col>1</xdr:col>
      <xdr:colOff>2334259</xdr:colOff>
      <xdr:row>23</xdr:row>
      <xdr:rowOff>10160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7B21E714-2A98-4E09-A79D-DA211DE0DE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91920" y="2844800"/>
          <a:ext cx="1120139" cy="1330960"/>
        </a:xfrm>
        <a:prstGeom prst="rect">
          <a:avLst/>
        </a:prstGeom>
      </xdr:spPr>
    </xdr:pic>
    <xdr:clientData/>
  </xdr:twoCellAnchor>
  <xdr:twoCellAnchor>
    <xdr:from>
      <xdr:col>7</xdr:col>
      <xdr:colOff>0</xdr:colOff>
      <xdr:row>3</xdr:row>
      <xdr:rowOff>0</xdr:rowOff>
    </xdr:from>
    <xdr:to>
      <xdr:col>7</xdr:col>
      <xdr:colOff>3562350</xdr:colOff>
      <xdr:row>22</xdr:row>
      <xdr:rowOff>162560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95469834-75A0-4280-8225-BC1E28A74D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52" displayName="Table52" ref="C95:C97" totalsRowShown="0" headerRowDxfId="405" dataDxfId="403" headerRowBorderDxfId="404" tableBorderDxfId="402" totalsRowBorderDxfId="401">
  <autoFilter ref="C95:C97" xr:uid="{00000000-0009-0000-0100-000001000000}"/>
  <tableColumns count="1">
    <tableColumn id="2" xr3:uid="{00000000-0010-0000-0000-000002000000}" name="Column2" dataDxfId="400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9000000}" name="RBS1a" displayName="RBS1a" ref="AR21:AY38" totalsRowShown="0" headerRowDxfId="319" dataDxfId="318">
  <autoFilter ref="AR21:AY38" xr:uid="{00000000-0009-0000-0100-000003000000}"/>
  <tableColumns count="8">
    <tableColumn id="1" xr3:uid="{00000000-0010-0000-0900-000001000000}" name="Unit" dataDxfId="317"/>
    <tableColumn id="2" xr3:uid="{00000000-0010-0000-0900-000002000000}" name="Name" dataDxfId="316"/>
    <tableColumn id="3" xr3:uid="{00000000-0010-0000-0900-000003000000}" name="Column1" dataDxfId="315">
      <calculatedColumnFormula>RBS_Data!D2</calculatedColumnFormula>
    </tableColumn>
    <tableColumn id="4" xr3:uid="{00000000-0010-0000-0900-000004000000}" name="Column2" dataDxfId="314">
      <calculatedColumnFormula>RBS_Data!E2</calculatedColumnFormula>
    </tableColumn>
    <tableColumn id="5" xr3:uid="{00000000-0010-0000-0900-000005000000}" name="Column3" dataDxfId="313">
      <calculatedColumnFormula>RBS_Data!F2</calculatedColumnFormula>
    </tableColumn>
    <tableColumn id="6" xr3:uid="{00000000-0010-0000-0900-000006000000}" name="Column4" dataDxfId="312">
      <calculatedColumnFormula>RBS_Data!G2</calculatedColumnFormula>
    </tableColumn>
    <tableColumn id="7" xr3:uid="{00000000-0010-0000-0900-000007000000}" name="Column5" dataDxfId="311">
      <calculatedColumnFormula>RBS_Data!H2</calculatedColumnFormula>
    </tableColumn>
    <tableColumn id="8" xr3:uid="{00000000-0010-0000-0900-000008000000}" name="Column6" dataDxfId="310">
      <calculatedColumnFormula>RBS_Data!I2</calculatedColumnFormula>
    </tableColumn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A000000}" name="RBS1b" displayName="RBS1b" ref="BA21:BH38" totalsRowShown="0" headerRowDxfId="309" dataDxfId="308">
  <autoFilter ref="BA21:BH38" xr:uid="{00000000-0009-0000-0100-000006000000}"/>
  <tableColumns count="8">
    <tableColumn id="1" xr3:uid="{00000000-0010-0000-0A00-000001000000}" name="Unit" dataDxfId="307"/>
    <tableColumn id="2" xr3:uid="{00000000-0010-0000-0A00-000002000000}" name="Name" dataDxfId="306"/>
    <tableColumn id="3" xr3:uid="{00000000-0010-0000-0A00-000003000000}" name="Column1" dataDxfId="305">
      <calculatedColumnFormula>RBS_Data!M2</calculatedColumnFormula>
    </tableColumn>
    <tableColumn id="4" xr3:uid="{00000000-0010-0000-0A00-000004000000}" name="Column2" dataDxfId="304">
      <calculatedColumnFormula>RBS_Data!N2</calculatedColumnFormula>
    </tableColumn>
    <tableColumn id="5" xr3:uid="{00000000-0010-0000-0A00-000005000000}" name="Column3" dataDxfId="303">
      <calculatedColumnFormula>RBS_Data!O2</calculatedColumnFormula>
    </tableColumn>
    <tableColumn id="6" xr3:uid="{00000000-0010-0000-0A00-000006000000}" name="Column4" dataDxfId="302">
      <calculatedColumnFormula>RBS_Data!P2</calculatedColumnFormula>
    </tableColumn>
    <tableColumn id="7" xr3:uid="{00000000-0010-0000-0A00-000007000000}" name="Column5" dataDxfId="301">
      <calculatedColumnFormula>RBS_Data!Q2</calculatedColumnFormula>
    </tableColumn>
    <tableColumn id="8" xr3:uid="{00000000-0010-0000-0A00-000008000000}" name="Column6" dataDxfId="300">
      <calculatedColumnFormula>RBS_Data!R2</calculatedColumnFormula>
    </tableColumn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B000000}" name="RBS2a" displayName="RBS2a" ref="AR41:AY58" totalsRowShown="0" headerRowDxfId="299" dataDxfId="298">
  <autoFilter ref="AR41:AY58" xr:uid="{00000000-0009-0000-0100-000007000000}"/>
  <tableColumns count="8">
    <tableColumn id="1" xr3:uid="{00000000-0010-0000-0B00-000001000000}" name="Unit" dataDxfId="297"/>
    <tableColumn id="2" xr3:uid="{00000000-0010-0000-0B00-000002000000}" name="Name" dataDxfId="296"/>
    <tableColumn id="3" xr3:uid="{00000000-0010-0000-0B00-000003000000}" name="Column1" dataDxfId="295">
      <calculatedColumnFormula>RBS_Data!D22</calculatedColumnFormula>
    </tableColumn>
    <tableColumn id="4" xr3:uid="{00000000-0010-0000-0B00-000004000000}" name="Column2" dataDxfId="294">
      <calculatedColumnFormula>RBS_Data!E22</calculatedColumnFormula>
    </tableColumn>
    <tableColumn id="5" xr3:uid="{00000000-0010-0000-0B00-000005000000}" name="Column3" dataDxfId="293">
      <calculatedColumnFormula>RBS_Data!F22</calculatedColumnFormula>
    </tableColumn>
    <tableColumn id="6" xr3:uid="{00000000-0010-0000-0B00-000006000000}" name="Column4" dataDxfId="292">
      <calculatedColumnFormula>RBS_Data!G22</calculatedColumnFormula>
    </tableColumn>
    <tableColumn id="7" xr3:uid="{00000000-0010-0000-0B00-000007000000}" name="Column5" dataDxfId="291">
      <calculatedColumnFormula>RBS_Data!H22</calculatedColumnFormula>
    </tableColumn>
    <tableColumn id="8" xr3:uid="{00000000-0010-0000-0B00-000008000000}" name="Column6" dataDxfId="290">
      <calculatedColumnFormula>RBS_Data!I22</calculatedColumnFormula>
    </tableColumn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C000000}" name="RBS2b" displayName="RBS2b" ref="BA41:BH58" totalsRowShown="0" headerRowDxfId="289" dataDxfId="288">
  <autoFilter ref="BA41:BH58" xr:uid="{00000000-0009-0000-0100-000008000000}"/>
  <tableColumns count="8">
    <tableColumn id="1" xr3:uid="{00000000-0010-0000-0C00-000001000000}" name="Unit" dataDxfId="287"/>
    <tableColumn id="2" xr3:uid="{00000000-0010-0000-0C00-000002000000}" name="Name" dataDxfId="286"/>
    <tableColumn id="3" xr3:uid="{00000000-0010-0000-0C00-000003000000}" name="Column1" dataDxfId="285">
      <calculatedColumnFormula>RBS_Data!M22</calculatedColumnFormula>
    </tableColumn>
    <tableColumn id="4" xr3:uid="{00000000-0010-0000-0C00-000004000000}" name="Column2" dataDxfId="284">
      <calculatedColumnFormula>RBS_Data!N22</calculatedColumnFormula>
    </tableColumn>
    <tableColumn id="5" xr3:uid="{00000000-0010-0000-0C00-000005000000}" name="Column3" dataDxfId="283">
      <calculatedColumnFormula>RBS_Data!O22</calculatedColumnFormula>
    </tableColumn>
    <tableColumn id="6" xr3:uid="{00000000-0010-0000-0C00-000006000000}" name="Column4" dataDxfId="282">
      <calculatedColumnFormula>RBS_Data!P22</calculatedColumnFormula>
    </tableColumn>
    <tableColumn id="7" xr3:uid="{00000000-0010-0000-0C00-000007000000}" name="Column5" dataDxfId="281">
      <calculatedColumnFormula>RBS_Data!Q22</calculatedColumnFormula>
    </tableColumn>
    <tableColumn id="8" xr3:uid="{00000000-0010-0000-0C00-000008000000}" name="Column6" dataDxfId="280">
      <calculatedColumnFormula>RBS_Data!R22</calculatedColumnFormula>
    </tableColumn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6" xr:uid="{00000000-000C-0000-FFFF-FFFF0D000000}" name="RBS3a" displayName="RBS3a" ref="AR61:AY78" totalsRowShown="0" headerRowDxfId="279" dataDxfId="278">
  <autoFilter ref="AR61:AY78" xr:uid="{00000000-0009-0000-0100-00002E000000}"/>
  <tableColumns count="8">
    <tableColumn id="1" xr3:uid="{00000000-0010-0000-0D00-000001000000}" name="Unit" dataDxfId="277"/>
    <tableColumn id="2" xr3:uid="{00000000-0010-0000-0D00-000002000000}" name="Name" dataDxfId="276"/>
    <tableColumn id="3" xr3:uid="{00000000-0010-0000-0D00-000003000000}" name="Column1" dataDxfId="275">
      <calculatedColumnFormula>RBS_Data!D42</calculatedColumnFormula>
    </tableColumn>
    <tableColumn id="4" xr3:uid="{00000000-0010-0000-0D00-000004000000}" name="Column2" dataDxfId="274">
      <calculatedColumnFormula>RBS_Data!E42</calculatedColumnFormula>
    </tableColumn>
    <tableColumn id="5" xr3:uid="{00000000-0010-0000-0D00-000005000000}" name="Column3" dataDxfId="273">
      <calculatedColumnFormula>RBS_Data!F42</calculatedColumnFormula>
    </tableColumn>
    <tableColumn id="6" xr3:uid="{00000000-0010-0000-0D00-000006000000}" name="Column4" dataDxfId="272">
      <calculatedColumnFormula>RBS_Data!G42</calculatedColumnFormula>
    </tableColumn>
    <tableColumn id="7" xr3:uid="{00000000-0010-0000-0D00-000007000000}" name="Column5" dataDxfId="271">
      <calculatedColumnFormula>RBS_Data!H42</calculatedColumnFormula>
    </tableColumn>
    <tableColumn id="8" xr3:uid="{00000000-0010-0000-0D00-000008000000}" name="Column6" dataDxfId="270">
      <calculatedColumnFormula>RBS_Data!I42</calculatedColumnFormula>
    </tableColumn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8" xr:uid="{00000000-000C-0000-FFFF-FFFF0E000000}" name="RBS3b" displayName="RBS3b" ref="BA61:BH78" totalsRowShown="0" headerRowDxfId="269" dataDxfId="268">
  <autoFilter ref="BA61:BH78" xr:uid="{00000000-0009-0000-0100-000030000000}"/>
  <tableColumns count="8">
    <tableColumn id="1" xr3:uid="{00000000-0010-0000-0E00-000001000000}" name="Unit" dataDxfId="267"/>
    <tableColumn id="2" xr3:uid="{00000000-0010-0000-0E00-000002000000}" name="Name" dataDxfId="266"/>
    <tableColumn id="3" xr3:uid="{00000000-0010-0000-0E00-000003000000}" name="Column1" dataDxfId="265">
      <calculatedColumnFormula>RBS_Data!M42</calculatedColumnFormula>
    </tableColumn>
    <tableColumn id="4" xr3:uid="{00000000-0010-0000-0E00-000004000000}" name="Column2" dataDxfId="264">
      <calculatedColumnFormula>RBS_Data!N42</calculatedColumnFormula>
    </tableColumn>
    <tableColumn id="5" xr3:uid="{00000000-0010-0000-0E00-000005000000}" name="Column3" dataDxfId="263">
      <calculatedColumnFormula>RBS_Data!O42</calculatedColumnFormula>
    </tableColumn>
    <tableColumn id="6" xr3:uid="{00000000-0010-0000-0E00-000006000000}" name="Column4" dataDxfId="262">
      <calculatedColumnFormula>RBS_Data!P42</calculatedColumnFormula>
    </tableColumn>
    <tableColumn id="7" xr3:uid="{00000000-0010-0000-0E00-000007000000}" name="Column5" dataDxfId="261">
      <calculatedColumnFormula>RBS_Data!Q42</calculatedColumnFormula>
    </tableColumn>
    <tableColumn id="8" xr3:uid="{00000000-0010-0000-0E00-000008000000}" name="Column6" dataDxfId="260">
      <calculatedColumnFormula>RBS_Data!R42</calculatedColumnFormula>
    </tableColumn>
  </tableColumns>
  <tableStyleInfo name="TableStyleMedium2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9" xr:uid="{00000000-000C-0000-FFFF-FFFF0F000000}" name="RBS4a" displayName="RBS4a" ref="AR81:AY98" totalsRowShown="0" headerRowDxfId="259" dataDxfId="258">
  <autoFilter ref="AR81:AY98" xr:uid="{00000000-0009-0000-0100-000031000000}"/>
  <tableColumns count="8">
    <tableColumn id="1" xr3:uid="{00000000-0010-0000-0F00-000001000000}" name="Unit" dataDxfId="257"/>
    <tableColumn id="2" xr3:uid="{00000000-0010-0000-0F00-000002000000}" name="Name" dataDxfId="256"/>
    <tableColumn id="3" xr3:uid="{00000000-0010-0000-0F00-000003000000}" name="Column1" dataDxfId="255">
      <calculatedColumnFormula>RBS_Data!D62</calculatedColumnFormula>
    </tableColumn>
    <tableColumn id="4" xr3:uid="{00000000-0010-0000-0F00-000004000000}" name="Column2" dataDxfId="254">
      <calculatedColumnFormula>RBS_Data!E62</calculatedColumnFormula>
    </tableColumn>
    <tableColumn id="5" xr3:uid="{00000000-0010-0000-0F00-000005000000}" name="Column3" dataDxfId="253">
      <calculatedColumnFormula>RBS_Data!F62</calculatedColumnFormula>
    </tableColumn>
    <tableColumn id="6" xr3:uid="{00000000-0010-0000-0F00-000006000000}" name="Column4" dataDxfId="252">
      <calculatedColumnFormula>RBS_Data!G62</calculatedColumnFormula>
    </tableColumn>
    <tableColumn id="7" xr3:uid="{00000000-0010-0000-0F00-000007000000}" name="Column5" dataDxfId="251">
      <calculatedColumnFormula>RBS_Data!H62</calculatedColumnFormula>
    </tableColumn>
    <tableColumn id="8" xr3:uid="{00000000-0010-0000-0F00-000008000000}" name="Column6" dataDxfId="250">
      <calculatedColumnFormula>RBS_Data!I62</calculatedColumnFormula>
    </tableColumn>
  </tableColumns>
  <tableStyleInfo name="TableStyleMedium2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0" xr:uid="{00000000-000C-0000-FFFF-FFFF10000000}" name="RBS4b" displayName="RBS4b" ref="BA81:BH98" totalsRowShown="0" headerRowDxfId="249" dataDxfId="248">
  <autoFilter ref="BA81:BH98" xr:uid="{00000000-0009-0000-0100-000032000000}"/>
  <tableColumns count="8">
    <tableColumn id="1" xr3:uid="{00000000-0010-0000-1000-000001000000}" name="Unit" dataDxfId="247"/>
    <tableColumn id="2" xr3:uid="{00000000-0010-0000-1000-000002000000}" name="Name" dataDxfId="246"/>
    <tableColumn id="3" xr3:uid="{00000000-0010-0000-1000-000003000000}" name="Column1" dataDxfId="245">
      <calculatedColumnFormula>RBS_Data!M62</calculatedColumnFormula>
    </tableColumn>
    <tableColumn id="4" xr3:uid="{00000000-0010-0000-1000-000004000000}" name="Column2" dataDxfId="244">
      <calculatedColumnFormula>RBS_Data!N62</calculatedColumnFormula>
    </tableColumn>
    <tableColumn id="5" xr3:uid="{00000000-0010-0000-1000-000005000000}" name="Column3" dataDxfId="243">
      <calculatedColumnFormula>RBS_Data!O62</calculatedColumnFormula>
    </tableColumn>
    <tableColumn id="6" xr3:uid="{00000000-0010-0000-1000-000006000000}" name="Column4" dataDxfId="242">
      <calculatedColumnFormula>RBS_Data!P62</calculatedColumnFormula>
    </tableColumn>
    <tableColumn id="7" xr3:uid="{00000000-0010-0000-1000-000007000000}" name="Column5" dataDxfId="241">
      <calculatedColumnFormula>RBS_Data!Q62</calculatedColumnFormula>
    </tableColumn>
    <tableColumn id="8" xr3:uid="{00000000-0010-0000-1000-000008000000}" name="Column6" dataDxfId="240">
      <calculatedColumnFormula>RBS_Data!R62</calculatedColumnFormula>
    </tableColumn>
  </tableColumns>
  <tableStyleInfo name="TableStyleMedium2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1" xr:uid="{00000000-000C-0000-FFFF-FFFF11000000}" name="Support1a" displayName="Support1a" ref="AR21:AY38" totalsRowShown="0" headerRowDxfId="239" dataDxfId="238">
  <autoFilter ref="AR21:AY38" xr:uid="{00000000-0009-0000-0100-000033000000}"/>
  <tableColumns count="8">
    <tableColumn id="1" xr3:uid="{00000000-0010-0000-1100-000001000000}" name="Unit" dataDxfId="237"/>
    <tableColumn id="2" xr3:uid="{00000000-0010-0000-1100-000002000000}" name="Name" dataDxfId="236"/>
    <tableColumn id="3" xr3:uid="{00000000-0010-0000-1100-000003000000}" name="Column1" dataDxfId="235">
      <calculatedColumnFormula>Support_Data!D2</calculatedColumnFormula>
    </tableColumn>
    <tableColumn id="4" xr3:uid="{00000000-0010-0000-1100-000004000000}" name="Column2" dataDxfId="234">
      <calculatedColumnFormula>Support_Data!E2</calculatedColumnFormula>
    </tableColumn>
    <tableColumn id="5" xr3:uid="{00000000-0010-0000-1100-000005000000}" name="Column3" dataDxfId="233">
      <calculatedColumnFormula>Support_Data!F2</calculatedColumnFormula>
    </tableColumn>
    <tableColumn id="6" xr3:uid="{00000000-0010-0000-1100-000006000000}" name="Column4" dataDxfId="232">
      <calculatedColumnFormula>Support_Data!G2</calculatedColumnFormula>
    </tableColumn>
    <tableColumn id="7" xr3:uid="{00000000-0010-0000-1100-000007000000}" name="Column5" dataDxfId="231">
      <calculatedColumnFormula>Support_Data!H2</calculatedColumnFormula>
    </tableColumn>
    <tableColumn id="8" xr3:uid="{00000000-0010-0000-1100-000008000000}" name="Column6" dataDxfId="230">
      <calculatedColumnFormula>Support_Data!I2</calculatedColumnFormula>
    </tableColumn>
  </tableColumns>
  <tableStyleInfo name="TableStyleMedium2"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2" xr:uid="{00000000-000C-0000-FFFF-FFFF12000000}" name="Support1b" displayName="Support1b" ref="BA21:BH38" totalsRowShown="0" headerRowDxfId="229" dataDxfId="228">
  <autoFilter ref="BA21:BH38" xr:uid="{00000000-0009-0000-0100-000034000000}"/>
  <tableColumns count="8">
    <tableColumn id="1" xr3:uid="{00000000-0010-0000-1200-000001000000}" name="Unit" dataDxfId="227"/>
    <tableColumn id="2" xr3:uid="{00000000-0010-0000-1200-000002000000}" name="Name" dataDxfId="226"/>
    <tableColumn id="3" xr3:uid="{00000000-0010-0000-1200-000003000000}" name="Column1" dataDxfId="225">
      <calculatedColumnFormula>Support_Data!M2</calculatedColumnFormula>
    </tableColumn>
    <tableColumn id="4" xr3:uid="{00000000-0010-0000-1200-000004000000}" name="Column2" dataDxfId="224">
      <calculatedColumnFormula>Support_Data!N2</calculatedColumnFormula>
    </tableColumn>
    <tableColumn id="5" xr3:uid="{00000000-0010-0000-1200-000005000000}" name="Column3" dataDxfId="223">
      <calculatedColumnFormula>Support_Data!O2</calculatedColumnFormula>
    </tableColumn>
    <tableColumn id="6" xr3:uid="{00000000-0010-0000-1200-000006000000}" name="Column4" dataDxfId="222">
      <calculatedColumnFormula>Support_Data!P2</calculatedColumnFormula>
    </tableColumn>
    <tableColumn id="7" xr3:uid="{00000000-0010-0000-1200-000007000000}" name="Column5" dataDxfId="221">
      <calculatedColumnFormula>Support_Data!Q2</calculatedColumnFormula>
    </tableColumn>
    <tableColumn id="8" xr3:uid="{00000000-0010-0000-1200-000008000000}" name="Column6" dataDxfId="220">
      <calculatedColumnFormula>Support_Data!R2</calculatedColumnFormula>
    </tableColumn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RP1a" displayName="RP1a" ref="AR21:AY38" totalsRowShown="0" headerRowDxfId="399" dataDxfId="398">
  <autoFilter ref="AR21:AY38" xr:uid="{00000000-0009-0000-0100-000002000000}"/>
  <tableColumns count="8">
    <tableColumn id="1" xr3:uid="{00000000-0010-0000-0100-000001000000}" name="Unit" dataDxfId="397"/>
    <tableColumn id="2" xr3:uid="{00000000-0010-0000-0100-000002000000}" name="Name" dataDxfId="396"/>
    <tableColumn id="3" xr3:uid="{00000000-0010-0000-0100-000003000000}" name="Column1" dataDxfId="395">
      <calculatedColumnFormula>RP_Data!D2</calculatedColumnFormula>
    </tableColumn>
    <tableColumn id="4" xr3:uid="{00000000-0010-0000-0100-000004000000}" name="Column2" dataDxfId="394">
      <calculatedColumnFormula>RP_Data!E2</calculatedColumnFormula>
    </tableColumn>
    <tableColumn id="5" xr3:uid="{00000000-0010-0000-0100-000005000000}" name="Column3" dataDxfId="393">
      <calculatedColumnFormula>RP_Data!F2</calculatedColumnFormula>
    </tableColumn>
    <tableColumn id="6" xr3:uid="{00000000-0010-0000-0100-000006000000}" name="Column4" dataDxfId="392">
      <calculatedColumnFormula>RP_Data!G2</calculatedColumnFormula>
    </tableColumn>
    <tableColumn id="7" xr3:uid="{00000000-0010-0000-0100-000007000000}" name="Column5" dataDxfId="391">
      <calculatedColumnFormula>RP_Data!H2</calculatedColumnFormula>
    </tableColumn>
    <tableColumn id="8" xr3:uid="{00000000-0010-0000-0100-000008000000}" name="Column6" dataDxfId="390">
      <calculatedColumnFormula>RP_Data!I2</calculatedColumnFormula>
    </tableColumn>
  </tableColumns>
  <tableStyleInfo name="TableStyleMedium2"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3" xr:uid="{00000000-000C-0000-FFFF-FFFF13000000}" name="Support2a" displayName="Support2a" ref="AR41:AY58" totalsRowShown="0" headerRowDxfId="219" dataDxfId="218">
  <autoFilter ref="AR41:AY58" xr:uid="{00000000-0009-0000-0100-000035000000}"/>
  <tableColumns count="8">
    <tableColumn id="1" xr3:uid="{00000000-0010-0000-1300-000001000000}" name="Unit" dataDxfId="217"/>
    <tableColumn id="2" xr3:uid="{00000000-0010-0000-1300-000002000000}" name="Name" dataDxfId="216"/>
    <tableColumn id="3" xr3:uid="{00000000-0010-0000-1300-000003000000}" name="Column1" dataDxfId="215">
      <calculatedColumnFormula>Support_Data!D22</calculatedColumnFormula>
    </tableColumn>
    <tableColumn id="4" xr3:uid="{00000000-0010-0000-1300-000004000000}" name="Column2" dataDxfId="214">
      <calculatedColumnFormula>Support_Data!E22</calculatedColumnFormula>
    </tableColumn>
    <tableColumn id="5" xr3:uid="{00000000-0010-0000-1300-000005000000}" name="Column3" dataDxfId="213">
      <calculatedColumnFormula>Support_Data!F22</calculatedColumnFormula>
    </tableColumn>
    <tableColumn id="6" xr3:uid="{00000000-0010-0000-1300-000006000000}" name="Column4" dataDxfId="212">
      <calculatedColumnFormula>Support_Data!G22</calculatedColumnFormula>
    </tableColumn>
    <tableColumn id="7" xr3:uid="{00000000-0010-0000-1300-000007000000}" name="Column5" dataDxfId="211">
      <calculatedColumnFormula>Support_Data!H22</calculatedColumnFormula>
    </tableColumn>
    <tableColumn id="8" xr3:uid="{00000000-0010-0000-1300-000008000000}" name="Column6" dataDxfId="210">
      <calculatedColumnFormula>Support_Data!I22</calculatedColumnFormula>
    </tableColumn>
  </tableColumns>
  <tableStyleInfo name="TableStyleMedium2"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4" xr:uid="{00000000-000C-0000-FFFF-FFFF14000000}" name="Support2b" displayName="Support2b" ref="BA41:BH58" totalsRowShown="0" headerRowDxfId="209" dataDxfId="208">
  <autoFilter ref="BA41:BH58" xr:uid="{00000000-0009-0000-0100-000036000000}"/>
  <tableColumns count="8">
    <tableColumn id="1" xr3:uid="{00000000-0010-0000-1400-000001000000}" name="Unit" dataDxfId="207"/>
    <tableColumn id="2" xr3:uid="{00000000-0010-0000-1400-000002000000}" name="Name" dataDxfId="206"/>
    <tableColumn id="3" xr3:uid="{00000000-0010-0000-1400-000003000000}" name="Column1" dataDxfId="205">
      <calculatedColumnFormula>Support_Data!M22</calculatedColumnFormula>
    </tableColumn>
    <tableColumn id="4" xr3:uid="{00000000-0010-0000-1400-000004000000}" name="Column2" dataDxfId="204">
      <calculatedColumnFormula>Support_Data!N22</calculatedColumnFormula>
    </tableColumn>
    <tableColumn id="5" xr3:uid="{00000000-0010-0000-1400-000005000000}" name="Column3" dataDxfId="203">
      <calculatedColumnFormula>Support_Data!O22</calculatedColumnFormula>
    </tableColumn>
    <tableColumn id="6" xr3:uid="{00000000-0010-0000-1400-000006000000}" name="Column4" dataDxfId="202">
      <calculatedColumnFormula>Support_Data!P22</calculatedColumnFormula>
    </tableColumn>
    <tableColumn id="7" xr3:uid="{00000000-0010-0000-1400-000007000000}" name="Column5" dataDxfId="201">
      <calculatedColumnFormula>Support_Data!Q22</calculatedColumnFormula>
    </tableColumn>
    <tableColumn id="8" xr3:uid="{00000000-0010-0000-1400-000008000000}" name="Column6" dataDxfId="200">
      <calculatedColumnFormula>Support_Data!R22</calculatedColumnFormula>
    </tableColumn>
  </tableColumns>
  <tableStyleInfo name="TableStyleMedium2"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5" xr:uid="{00000000-000C-0000-FFFF-FFFF15000000}" name="Support3a" displayName="Support3a" ref="AR61:AY78" totalsRowShown="0" headerRowDxfId="199" dataDxfId="198">
  <autoFilter ref="AR61:AY78" xr:uid="{00000000-0009-0000-0100-000037000000}"/>
  <tableColumns count="8">
    <tableColumn id="1" xr3:uid="{00000000-0010-0000-1500-000001000000}" name="Unit" dataDxfId="197"/>
    <tableColumn id="2" xr3:uid="{00000000-0010-0000-1500-000002000000}" name="Name" dataDxfId="196"/>
    <tableColumn id="3" xr3:uid="{00000000-0010-0000-1500-000003000000}" name="Column1" dataDxfId="195">
      <calculatedColumnFormula>Support_Data!D42</calculatedColumnFormula>
    </tableColumn>
    <tableColumn id="4" xr3:uid="{00000000-0010-0000-1500-000004000000}" name="Column2" dataDxfId="194">
      <calculatedColumnFormula>Support_Data!E42</calculatedColumnFormula>
    </tableColumn>
    <tableColumn id="5" xr3:uid="{00000000-0010-0000-1500-000005000000}" name="Column3" dataDxfId="193">
      <calculatedColumnFormula>Support_Data!F42</calculatedColumnFormula>
    </tableColumn>
    <tableColumn id="6" xr3:uid="{00000000-0010-0000-1500-000006000000}" name="Column4" dataDxfId="192">
      <calculatedColumnFormula>Support_Data!G42</calculatedColumnFormula>
    </tableColumn>
    <tableColumn id="7" xr3:uid="{00000000-0010-0000-1500-000007000000}" name="Column5" dataDxfId="191">
      <calculatedColumnFormula>Support_Data!H42</calculatedColumnFormula>
    </tableColumn>
    <tableColumn id="8" xr3:uid="{00000000-0010-0000-1500-000008000000}" name="Column6" dataDxfId="190">
      <calculatedColumnFormula>Support_Data!I42</calculatedColumnFormula>
    </tableColumn>
  </tableColumns>
  <tableStyleInfo name="TableStyleMedium2"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6" xr:uid="{00000000-000C-0000-FFFF-FFFF16000000}" name="Support3b" displayName="Support3b" ref="BA61:BH78" totalsRowShown="0" headerRowDxfId="189" dataDxfId="188">
  <autoFilter ref="BA61:BH78" xr:uid="{00000000-0009-0000-0100-000038000000}"/>
  <tableColumns count="8">
    <tableColumn id="1" xr3:uid="{00000000-0010-0000-1600-000001000000}" name="Unit" dataDxfId="187"/>
    <tableColumn id="2" xr3:uid="{00000000-0010-0000-1600-000002000000}" name="Name" dataDxfId="186"/>
    <tableColumn id="3" xr3:uid="{00000000-0010-0000-1600-000003000000}" name="Column1" dataDxfId="185">
      <calculatedColumnFormula>Support_Data!M42</calculatedColumnFormula>
    </tableColumn>
    <tableColumn id="4" xr3:uid="{00000000-0010-0000-1600-000004000000}" name="Column2" dataDxfId="184">
      <calculatedColumnFormula>Support_Data!N42</calculatedColumnFormula>
    </tableColumn>
    <tableColumn id="5" xr3:uid="{00000000-0010-0000-1600-000005000000}" name="Column3" dataDxfId="183">
      <calculatedColumnFormula>Support_Data!O42</calculatedColumnFormula>
    </tableColumn>
    <tableColumn id="6" xr3:uid="{00000000-0010-0000-1600-000006000000}" name="Column4" dataDxfId="182">
      <calculatedColumnFormula>Support_Data!P42</calculatedColumnFormula>
    </tableColumn>
    <tableColumn id="7" xr3:uid="{00000000-0010-0000-1600-000007000000}" name="Column5" dataDxfId="181">
      <calculatedColumnFormula>Support_Data!Q42</calculatedColumnFormula>
    </tableColumn>
    <tableColumn id="8" xr3:uid="{00000000-0010-0000-1600-000008000000}" name="Column6" dataDxfId="180">
      <calculatedColumnFormula>Support_Data!R42</calculatedColumnFormula>
    </tableColumn>
  </tableColumns>
  <tableStyleInfo name="TableStyleMedium2" showFirstColumn="0" showLastColumn="0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7" xr:uid="{00000000-000C-0000-FFFF-FFFF17000000}" name="Support4a" displayName="Support4a" ref="AR81:AY98" totalsRowShown="0" headerRowDxfId="179" dataDxfId="178">
  <autoFilter ref="AR81:AY98" xr:uid="{00000000-0009-0000-0100-000039000000}"/>
  <tableColumns count="8">
    <tableColumn id="1" xr3:uid="{00000000-0010-0000-1700-000001000000}" name="Unit" dataDxfId="177"/>
    <tableColumn id="2" xr3:uid="{00000000-0010-0000-1700-000002000000}" name="Name" dataDxfId="176"/>
    <tableColumn id="3" xr3:uid="{00000000-0010-0000-1700-000003000000}" name="Column1" dataDxfId="175">
      <calculatedColumnFormula>Support_Data!D62</calculatedColumnFormula>
    </tableColumn>
    <tableColumn id="4" xr3:uid="{00000000-0010-0000-1700-000004000000}" name="Column2" dataDxfId="174">
      <calculatedColumnFormula>Support_Data!E62</calculatedColumnFormula>
    </tableColumn>
    <tableColumn id="5" xr3:uid="{00000000-0010-0000-1700-000005000000}" name="Column3" dataDxfId="173">
      <calculatedColumnFormula>Support_Data!F62</calculatedColumnFormula>
    </tableColumn>
    <tableColumn id="6" xr3:uid="{00000000-0010-0000-1700-000006000000}" name="Column4" dataDxfId="172">
      <calculatedColumnFormula>Support_Data!G62</calculatedColumnFormula>
    </tableColumn>
    <tableColumn id="7" xr3:uid="{00000000-0010-0000-1700-000007000000}" name="Column5" dataDxfId="171">
      <calculatedColumnFormula>Support_Data!H62</calculatedColumnFormula>
    </tableColumn>
    <tableColumn id="8" xr3:uid="{00000000-0010-0000-1700-000008000000}" name="Column6" dataDxfId="170">
      <calculatedColumnFormula>Support_Data!I62</calculatedColumnFormula>
    </tableColumn>
  </tableColumns>
  <tableStyleInfo name="TableStyleMedium2" showFirstColumn="0" showLastColumn="0" showRowStripes="1" showColumnStripes="0"/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8" xr:uid="{00000000-000C-0000-FFFF-FFFF18000000}" name="Support4b" displayName="Support4b" ref="BA81:BH98" totalsRowShown="0" headerRowDxfId="169" dataDxfId="168">
  <autoFilter ref="BA81:BH98" xr:uid="{00000000-0009-0000-0100-00003A000000}"/>
  <tableColumns count="8">
    <tableColumn id="1" xr3:uid="{00000000-0010-0000-1800-000001000000}" name="Unit" dataDxfId="167"/>
    <tableColumn id="2" xr3:uid="{00000000-0010-0000-1800-000002000000}" name="Name" dataDxfId="166"/>
    <tableColumn id="3" xr3:uid="{00000000-0010-0000-1800-000003000000}" name="Column1" dataDxfId="165">
      <calculatedColumnFormula>Support_Data!M62</calculatedColumnFormula>
    </tableColumn>
    <tableColumn id="4" xr3:uid="{00000000-0010-0000-1800-000004000000}" name="Column2" dataDxfId="164">
      <calculatedColumnFormula>Support_Data!N62</calculatedColumnFormula>
    </tableColumn>
    <tableColumn id="5" xr3:uid="{00000000-0010-0000-1800-000005000000}" name="Column3" dataDxfId="163">
      <calculatedColumnFormula>Support_Data!O62</calculatedColumnFormula>
    </tableColumn>
    <tableColumn id="6" xr3:uid="{00000000-0010-0000-1800-000006000000}" name="Column4" dataDxfId="162">
      <calculatedColumnFormula>Support_Data!P62</calculatedColumnFormula>
    </tableColumn>
    <tableColumn id="7" xr3:uid="{00000000-0010-0000-1800-000007000000}" name="Column5" dataDxfId="161">
      <calculatedColumnFormula>Support_Data!Q62</calculatedColumnFormula>
    </tableColumn>
    <tableColumn id="8" xr3:uid="{00000000-0010-0000-1800-000008000000}" name="Column6" dataDxfId="160">
      <calculatedColumnFormula>Support_Data!R62</calculatedColumnFormula>
    </tableColumn>
  </tableColumns>
  <tableStyleInfo name="TableStyleMedium2" showFirstColumn="0" showLastColumn="0" showRowStripes="1" showColumnStripes="0"/>
</table>
</file>

<file path=xl/tables/table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19000000}" name="Support1a6" displayName="Support1a6" ref="AR21:AY38" totalsRowShown="0" headerRowDxfId="159" dataDxfId="158">
  <autoFilter ref="AR21:AY38" xr:uid="{00000000-0009-0000-0100-000005000000}"/>
  <tableColumns count="8">
    <tableColumn id="1" xr3:uid="{00000000-0010-0000-1900-000001000000}" name="Unit" dataDxfId="157"/>
    <tableColumn id="2" xr3:uid="{00000000-0010-0000-1900-000002000000}" name="Name" dataDxfId="156"/>
    <tableColumn id="3" xr3:uid="{00000000-0010-0000-1900-000003000000}" name="Column1" dataDxfId="155">
      <calculatedColumnFormula>Augmentation_Data!D2</calculatedColumnFormula>
    </tableColumn>
    <tableColumn id="4" xr3:uid="{00000000-0010-0000-1900-000004000000}" name="Column2" dataDxfId="154">
      <calculatedColumnFormula>Augmentation_Data!E2</calculatedColumnFormula>
    </tableColumn>
    <tableColumn id="5" xr3:uid="{00000000-0010-0000-1900-000005000000}" name="Column3" dataDxfId="153">
      <calculatedColumnFormula>Augmentation_Data!F2</calculatedColumnFormula>
    </tableColumn>
    <tableColumn id="6" xr3:uid="{00000000-0010-0000-1900-000006000000}" name="Column4" dataDxfId="152">
      <calculatedColumnFormula>Augmentation_Data!G2</calculatedColumnFormula>
    </tableColumn>
    <tableColumn id="7" xr3:uid="{00000000-0010-0000-1900-000007000000}" name="Column5" dataDxfId="151">
      <calculatedColumnFormula>Augmentation_Data!H2</calculatedColumnFormula>
    </tableColumn>
    <tableColumn id="8" xr3:uid="{00000000-0010-0000-1900-000008000000}" name="Column6" dataDxfId="150">
      <calculatedColumnFormula>Augmentation_Data!I2</calculatedColumnFormula>
    </tableColumn>
  </tableColumns>
  <tableStyleInfo name="TableStyleMedium2" showFirstColumn="0" showLastColumn="0" showRowStripes="1" showColumnStripes="0"/>
</table>
</file>

<file path=xl/tables/table2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1A000000}" name="Support1b10" displayName="Support1b10" ref="BA21:BH38" totalsRowShown="0" headerRowDxfId="149" dataDxfId="148">
  <autoFilter ref="BA21:BH38" xr:uid="{00000000-0009-0000-0100-000009000000}"/>
  <tableColumns count="8">
    <tableColumn id="1" xr3:uid="{00000000-0010-0000-1A00-000001000000}" name="Unit" dataDxfId="147"/>
    <tableColumn id="2" xr3:uid="{00000000-0010-0000-1A00-000002000000}" name="Name" dataDxfId="146"/>
    <tableColumn id="3" xr3:uid="{00000000-0010-0000-1A00-000003000000}" name="Column1" dataDxfId="145">
      <calculatedColumnFormula>Augmentation_Data!M2</calculatedColumnFormula>
    </tableColumn>
    <tableColumn id="4" xr3:uid="{00000000-0010-0000-1A00-000004000000}" name="Column2" dataDxfId="144">
      <calculatedColumnFormula>Augmentation_Data!N2</calculatedColumnFormula>
    </tableColumn>
    <tableColumn id="5" xr3:uid="{00000000-0010-0000-1A00-000005000000}" name="Column3" dataDxfId="143">
      <calculatedColumnFormula>Augmentation_Data!O2</calculatedColumnFormula>
    </tableColumn>
    <tableColumn id="6" xr3:uid="{00000000-0010-0000-1A00-000006000000}" name="Column4" dataDxfId="142">
      <calculatedColumnFormula>Augmentation_Data!P2</calculatedColumnFormula>
    </tableColumn>
    <tableColumn id="7" xr3:uid="{00000000-0010-0000-1A00-000007000000}" name="Column5" dataDxfId="141">
      <calculatedColumnFormula>Augmentation_Data!Q2</calculatedColumnFormula>
    </tableColumn>
    <tableColumn id="8" xr3:uid="{00000000-0010-0000-1A00-000008000000}" name="Column6" dataDxfId="140">
      <calculatedColumnFormula>Augmentation_Data!R2</calculatedColumnFormula>
    </tableColumn>
  </tableColumns>
  <tableStyleInfo name="TableStyleMedium2" showFirstColumn="0" showLastColumn="0" showRowStripes="1" showColumnStripes="0"/>
</table>
</file>

<file path=xl/tables/table2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1B000000}" name="Support2a11" displayName="Support2a11" ref="AR41:AY58" totalsRowShown="0" headerRowDxfId="139" dataDxfId="138">
  <autoFilter ref="AR41:AY58" xr:uid="{00000000-0009-0000-0100-00000A000000}"/>
  <tableColumns count="8">
    <tableColumn id="1" xr3:uid="{00000000-0010-0000-1B00-000001000000}" name="Unit" dataDxfId="137"/>
    <tableColumn id="2" xr3:uid="{00000000-0010-0000-1B00-000002000000}" name="Name" dataDxfId="136"/>
    <tableColumn id="3" xr3:uid="{00000000-0010-0000-1B00-000003000000}" name="Column1" dataDxfId="135">
      <calculatedColumnFormula>Augmentation_Data!D22</calculatedColumnFormula>
    </tableColumn>
    <tableColumn id="4" xr3:uid="{00000000-0010-0000-1B00-000004000000}" name="Column2" dataDxfId="134">
      <calculatedColumnFormula>Augmentation_Data!E22</calculatedColumnFormula>
    </tableColumn>
    <tableColumn id="5" xr3:uid="{00000000-0010-0000-1B00-000005000000}" name="Column3" dataDxfId="133">
      <calculatedColumnFormula>Augmentation_Data!F22</calculatedColumnFormula>
    </tableColumn>
    <tableColumn id="6" xr3:uid="{00000000-0010-0000-1B00-000006000000}" name="Column4" dataDxfId="132">
      <calculatedColumnFormula>Augmentation_Data!G22</calculatedColumnFormula>
    </tableColumn>
    <tableColumn id="7" xr3:uid="{00000000-0010-0000-1B00-000007000000}" name="Column5" dataDxfId="131">
      <calculatedColumnFormula>Augmentation_Data!H22</calculatedColumnFormula>
    </tableColumn>
    <tableColumn id="8" xr3:uid="{00000000-0010-0000-1B00-000008000000}" name="Column6" dataDxfId="130">
      <calculatedColumnFormula>Augmentation_Data!I22</calculatedColumnFormula>
    </tableColumn>
  </tableColumns>
  <tableStyleInfo name="TableStyleMedium2" showFirstColumn="0" showLastColumn="0" showRowStripes="1" showColumnStripes="0"/>
</table>
</file>

<file path=xl/tables/table2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1C000000}" name="Support2b12" displayName="Support2b12" ref="BA41:BH58" totalsRowShown="0" headerRowDxfId="129" dataDxfId="128">
  <autoFilter ref="BA41:BH58" xr:uid="{00000000-0009-0000-0100-00000B000000}"/>
  <tableColumns count="8">
    <tableColumn id="1" xr3:uid="{00000000-0010-0000-1C00-000001000000}" name="Unit" dataDxfId="127"/>
    <tableColumn id="2" xr3:uid="{00000000-0010-0000-1C00-000002000000}" name="Name" dataDxfId="126"/>
    <tableColumn id="3" xr3:uid="{00000000-0010-0000-1C00-000003000000}" name="Column1" dataDxfId="125">
      <calculatedColumnFormula>Augmentation_Data!M22</calculatedColumnFormula>
    </tableColumn>
    <tableColumn id="4" xr3:uid="{00000000-0010-0000-1C00-000004000000}" name="Column2" dataDxfId="124">
      <calculatedColumnFormula>Augmentation_Data!N22</calculatedColumnFormula>
    </tableColumn>
    <tableColumn id="5" xr3:uid="{00000000-0010-0000-1C00-000005000000}" name="Column3" dataDxfId="123">
      <calculatedColumnFormula>Augmentation_Data!O22</calculatedColumnFormula>
    </tableColumn>
    <tableColumn id="6" xr3:uid="{00000000-0010-0000-1C00-000006000000}" name="Column4" dataDxfId="122">
      <calculatedColumnFormula>Augmentation_Data!P22</calculatedColumnFormula>
    </tableColumn>
    <tableColumn id="7" xr3:uid="{00000000-0010-0000-1C00-000007000000}" name="Column5" dataDxfId="121">
      <calculatedColumnFormula>Augmentation_Data!Q22</calculatedColumnFormula>
    </tableColumn>
    <tableColumn id="8" xr3:uid="{00000000-0010-0000-1C00-000008000000}" name="Column6" dataDxfId="120">
      <calculatedColumnFormula>Augmentation_Data!R22</calculatedColumnFormula>
    </tableColumn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2000000}" name="RP1b" displayName="RP1b" ref="BA21:BH38" totalsRowShown="0" headerRowDxfId="389" dataDxfId="388">
  <autoFilter ref="BA21:BH38" xr:uid="{00000000-0009-0000-0100-000004000000}"/>
  <tableColumns count="8">
    <tableColumn id="1" xr3:uid="{00000000-0010-0000-0200-000001000000}" name="Unit" dataDxfId="387"/>
    <tableColumn id="2" xr3:uid="{00000000-0010-0000-0200-000002000000}" name="Name" dataDxfId="386"/>
    <tableColumn id="3" xr3:uid="{00000000-0010-0000-0200-000003000000}" name="Column1" dataDxfId="385">
      <calculatedColumnFormula>RP_Data!M2</calculatedColumnFormula>
    </tableColumn>
    <tableColumn id="4" xr3:uid="{00000000-0010-0000-0200-000004000000}" name="Column2" dataDxfId="384">
      <calculatedColumnFormula>RP_Data!N2</calculatedColumnFormula>
    </tableColumn>
    <tableColumn id="5" xr3:uid="{00000000-0010-0000-0200-000005000000}" name="Column3" dataDxfId="383">
      <calculatedColumnFormula>RP_Data!O2</calculatedColumnFormula>
    </tableColumn>
    <tableColumn id="6" xr3:uid="{00000000-0010-0000-0200-000006000000}" name="Column4" dataDxfId="382">
      <calculatedColumnFormula>RP_Data!P2</calculatedColumnFormula>
    </tableColumn>
    <tableColumn id="7" xr3:uid="{00000000-0010-0000-0200-000007000000}" name="Column5" dataDxfId="381">
      <calculatedColumnFormula>RP_Data!Q2</calculatedColumnFormula>
    </tableColumn>
    <tableColumn id="8" xr3:uid="{00000000-0010-0000-0200-000008000000}" name="Column6" dataDxfId="380">
      <calculatedColumnFormula>RP_Data!R2</calculatedColumnFormula>
    </tableColumn>
  </tableColumns>
  <tableStyleInfo name="TableStyleMedium2" showFirstColumn="0" showLastColumn="0" showRowStripes="1" showColumnStripes="0"/>
</table>
</file>

<file path=xl/tables/table3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1D000000}" name="Support3a13" displayName="Support3a13" ref="AR61:AY78" totalsRowShown="0" headerRowDxfId="119" dataDxfId="118">
  <autoFilter ref="AR61:AY78" xr:uid="{00000000-0009-0000-0100-00000C000000}"/>
  <tableColumns count="8">
    <tableColumn id="1" xr3:uid="{00000000-0010-0000-1D00-000001000000}" name="Unit" dataDxfId="117"/>
    <tableColumn id="2" xr3:uid="{00000000-0010-0000-1D00-000002000000}" name="Name" dataDxfId="116"/>
    <tableColumn id="3" xr3:uid="{00000000-0010-0000-1D00-000003000000}" name="Column1" dataDxfId="115">
      <calculatedColumnFormula>Augmentation_Data!D42</calculatedColumnFormula>
    </tableColumn>
    <tableColumn id="4" xr3:uid="{00000000-0010-0000-1D00-000004000000}" name="Column2" dataDxfId="114">
      <calculatedColumnFormula>Augmentation_Data!E42</calculatedColumnFormula>
    </tableColumn>
    <tableColumn id="5" xr3:uid="{00000000-0010-0000-1D00-000005000000}" name="Column3" dataDxfId="113">
      <calculatedColumnFormula>Augmentation_Data!F42</calculatedColumnFormula>
    </tableColumn>
    <tableColumn id="6" xr3:uid="{00000000-0010-0000-1D00-000006000000}" name="Column4" dataDxfId="112">
      <calculatedColumnFormula>Augmentation_Data!G42</calculatedColumnFormula>
    </tableColumn>
    <tableColumn id="7" xr3:uid="{00000000-0010-0000-1D00-000007000000}" name="Column5" dataDxfId="111">
      <calculatedColumnFormula>Augmentation_Data!H42</calculatedColumnFormula>
    </tableColumn>
    <tableColumn id="8" xr3:uid="{00000000-0010-0000-1D00-000008000000}" name="Column6" dataDxfId="110">
      <calculatedColumnFormula>Augmentation_Data!I42</calculatedColumnFormula>
    </tableColumn>
  </tableColumns>
  <tableStyleInfo name="TableStyleMedium2" showFirstColumn="0" showLastColumn="0" showRowStripes="1" showColumnStripes="0"/>
</table>
</file>

<file path=xl/tables/table3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1E000000}" name="Support3b14" displayName="Support3b14" ref="BA61:BH78" totalsRowShown="0" headerRowDxfId="109" dataDxfId="108">
  <autoFilter ref="BA61:BH78" xr:uid="{00000000-0009-0000-0100-00000D000000}"/>
  <tableColumns count="8">
    <tableColumn id="1" xr3:uid="{00000000-0010-0000-1E00-000001000000}" name="Unit" dataDxfId="107"/>
    <tableColumn id="2" xr3:uid="{00000000-0010-0000-1E00-000002000000}" name="Name" dataDxfId="106"/>
    <tableColumn id="3" xr3:uid="{00000000-0010-0000-1E00-000003000000}" name="Column1" dataDxfId="105">
      <calculatedColumnFormula>Augmentation_Data!M42</calculatedColumnFormula>
    </tableColumn>
    <tableColumn id="4" xr3:uid="{00000000-0010-0000-1E00-000004000000}" name="Column2" dataDxfId="104">
      <calculatedColumnFormula>Augmentation_Data!N42</calculatedColumnFormula>
    </tableColumn>
    <tableColumn id="5" xr3:uid="{00000000-0010-0000-1E00-000005000000}" name="Column3" dataDxfId="103">
      <calculatedColumnFormula>Augmentation_Data!O42</calculatedColumnFormula>
    </tableColumn>
    <tableColumn id="6" xr3:uid="{00000000-0010-0000-1E00-000006000000}" name="Column4" dataDxfId="102">
      <calculatedColumnFormula>Augmentation_Data!P42</calculatedColumnFormula>
    </tableColumn>
    <tableColumn id="7" xr3:uid="{00000000-0010-0000-1E00-000007000000}" name="Column5" dataDxfId="101">
      <calculatedColumnFormula>Augmentation_Data!Q42</calculatedColumnFormula>
    </tableColumn>
    <tableColumn id="8" xr3:uid="{00000000-0010-0000-1E00-000008000000}" name="Column6" dataDxfId="100">
      <calculatedColumnFormula>Augmentation_Data!R42</calculatedColumnFormula>
    </tableColumn>
  </tableColumns>
  <tableStyleInfo name="TableStyleMedium2" showFirstColumn="0" showLastColumn="0" showRowStripes="1" showColumnStripes="0"/>
</table>
</file>

<file path=xl/tables/table3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1F000000}" name="Support4a15" displayName="Support4a15" ref="AR81:AY98" totalsRowShown="0" headerRowDxfId="99" dataDxfId="98">
  <autoFilter ref="AR81:AY98" xr:uid="{00000000-0009-0000-0100-00000E000000}"/>
  <tableColumns count="8">
    <tableColumn id="1" xr3:uid="{00000000-0010-0000-1F00-000001000000}" name="Unit" dataDxfId="97"/>
    <tableColumn id="2" xr3:uid="{00000000-0010-0000-1F00-000002000000}" name="Name" dataDxfId="96"/>
    <tableColumn id="3" xr3:uid="{00000000-0010-0000-1F00-000003000000}" name="Column1" dataDxfId="95">
      <calculatedColumnFormula>Augmentation_Data!D62</calculatedColumnFormula>
    </tableColumn>
    <tableColumn id="4" xr3:uid="{00000000-0010-0000-1F00-000004000000}" name="Column2" dataDxfId="94">
      <calculatedColumnFormula>Augmentation_Data!E62</calculatedColumnFormula>
    </tableColumn>
    <tableColumn id="5" xr3:uid="{00000000-0010-0000-1F00-000005000000}" name="Column3" dataDxfId="93">
      <calculatedColumnFormula>Augmentation_Data!F62</calculatedColumnFormula>
    </tableColumn>
    <tableColumn id="6" xr3:uid="{00000000-0010-0000-1F00-000006000000}" name="Column4" dataDxfId="92">
      <calculatedColumnFormula>Augmentation_Data!G62</calculatedColumnFormula>
    </tableColumn>
    <tableColumn id="7" xr3:uid="{00000000-0010-0000-1F00-000007000000}" name="Column5" dataDxfId="91">
      <calculatedColumnFormula>Augmentation_Data!H62</calculatedColumnFormula>
    </tableColumn>
    <tableColumn id="8" xr3:uid="{00000000-0010-0000-1F00-000008000000}" name="Column6" dataDxfId="90">
      <calculatedColumnFormula>Augmentation_Data!I62</calculatedColumnFormula>
    </tableColumn>
  </tableColumns>
  <tableStyleInfo name="TableStyleMedium2" showFirstColumn="0" showLastColumn="0" showRowStripes="1" showColumnStripes="0"/>
</table>
</file>

<file path=xl/tables/table3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20000000}" name="Support4b16" displayName="Support4b16" ref="BA81:BH98" totalsRowShown="0" headerRowDxfId="89" dataDxfId="88">
  <autoFilter ref="BA81:BH98" xr:uid="{00000000-0009-0000-0100-00000F000000}"/>
  <tableColumns count="8">
    <tableColumn id="1" xr3:uid="{00000000-0010-0000-2000-000001000000}" name="Unit" dataDxfId="87"/>
    <tableColumn id="2" xr3:uid="{00000000-0010-0000-2000-000002000000}" name="Name" dataDxfId="86"/>
    <tableColumn id="3" xr3:uid="{00000000-0010-0000-2000-000003000000}" name="Column1" dataDxfId="85">
      <calculatedColumnFormula>Augmentation_Data!M62</calculatedColumnFormula>
    </tableColumn>
    <tableColumn id="4" xr3:uid="{00000000-0010-0000-2000-000004000000}" name="Column2" dataDxfId="84">
      <calculatedColumnFormula>Augmentation_Data!N62</calculatedColumnFormula>
    </tableColumn>
    <tableColumn id="5" xr3:uid="{00000000-0010-0000-2000-000005000000}" name="Column3" dataDxfId="83">
      <calculatedColumnFormula>Augmentation_Data!O62</calculatedColumnFormula>
    </tableColumn>
    <tableColumn id="6" xr3:uid="{00000000-0010-0000-2000-000006000000}" name="Column4" dataDxfId="82">
      <calculatedColumnFormula>Augmentation_Data!P62</calculatedColumnFormula>
    </tableColumn>
    <tableColumn id="7" xr3:uid="{00000000-0010-0000-2000-000007000000}" name="Column5" dataDxfId="81">
      <calculatedColumnFormula>Augmentation_Data!Q62</calculatedColumnFormula>
    </tableColumn>
    <tableColumn id="8" xr3:uid="{00000000-0010-0000-2000-000008000000}" name="Column6" dataDxfId="80">
      <calculatedColumnFormula>Augmentation_Data!R62</calculatedColumnFormula>
    </tableColumn>
  </tableColumns>
  <tableStyleInfo name="TableStyleMedium2" showFirstColumn="0" showLastColumn="0" showRowStripes="1" showColumnStripes="0"/>
</table>
</file>

<file path=xl/tables/table3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21000000}" name="Personnel1a" displayName="Personnel1a" ref="AR21:AY38" totalsRowShown="0" headerRowDxfId="79" dataDxfId="78">
  <autoFilter ref="AR21:AY38" xr:uid="{00000000-0009-0000-0100-000010000000}"/>
  <tableColumns count="8">
    <tableColumn id="1" xr3:uid="{00000000-0010-0000-2100-000001000000}" name="Unit" dataDxfId="77"/>
    <tableColumn id="2" xr3:uid="{00000000-0010-0000-2100-000002000000}" name="Name" dataDxfId="76"/>
    <tableColumn id="3" xr3:uid="{00000000-0010-0000-2100-000003000000}" name="Column1" dataDxfId="75">
      <calculatedColumnFormula>Personnel_Data!D2</calculatedColumnFormula>
    </tableColumn>
    <tableColumn id="4" xr3:uid="{00000000-0010-0000-2100-000004000000}" name="Column2" dataDxfId="74">
      <calculatedColumnFormula>Personnel_Data!E2</calculatedColumnFormula>
    </tableColumn>
    <tableColumn id="5" xr3:uid="{00000000-0010-0000-2100-000005000000}" name="Column3" dataDxfId="73">
      <calculatedColumnFormula>Personnel_Data!F2</calculatedColumnFormula>
    </tableColumn>
    <tableColumn id="6" xr3:uid="{00000000-0010-0000-2100-000006000000}" name="Column4" dataDxfId="72">
      <calculatedColumnFormula>Personnel_Data!G2</calculatedColumnFormula>
    </tableColumn>
    <tableColumn id="7" xr3:uid="{00000000-0010-0000-2100-000007000000}" name="Column5" dataDxfId="71">
      <calculatedColumnFormula>Personnel_Data!H2</calculatedColumnFormula>
    </tableColumn>
    <tableColumn id="8" xr3:uid="{00000000-0010-0000-2100-000008000000}" name="Column6" dataDxfId="70">
      <calculatedColumnFormula>Personnel_Data!I2</calculatedColumnFormula>
    </tableColumn>
  </tableColumns>
  <tableStyleInfo name="TableStyleMedium2" showFirstColumn="0" showLastColumn="0" showRowStripes="1" showColumnStripes="0"/>
</table>
</file>

<file path=xl/tables/table3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0000000-000C-0000-FFFF-FFFF22000000}" name="Support1b1018" displayName="Support1b1018" ref="BA21:BH38" totalsRowShown="0" headerRowDxfId="69" dataDxfId="68">
  <autoFilter ref="BA21:BH38" xr:uid="{00000000-0009-0000-0100-000011000000}"/>
  <tableColumns count="8">
    <tableColumn id="1" xr3:uid="{00000000-0010-0000-2200-000001000000}" name="Unit" dataDxfId="67"/>
    <tableColumn id="2" xr3:uid="{00000000-0010-0000-2200-000002000000}" name="Name" dataDxfId="66"/>
    <tableColumn id="3" xr3:uid="{00000000-0010-0000-2200-000003000000}" name="Column1" dataDxfId="65">
      <calculatedColumnFormula>Augmentation_Data!M2</calculatedColumnFormula>
    </tableColumn>
    <tableColumn id="4" xr3:uid="{00000000-0010-0000-2200-000004000000}" name="Column2" dataDxfId="64">
      <calculatedColumnFormula>Augmentation_Data!N2</calculatedColumnFormula>
    </tableColumn>
    <tableColumn id="5" xr3:uid="{00000000-0010-0000-2200-000005000000}" name="Column3" dataDxfId="63">
      <calculatedColumnFormula>Augmentation_Data!O2</calculatedColumnFormula>
    </tableColumn>
    <tableColumn id="6" xr3:uid="{00000000-0010-0000-2200-000006000000}" name="Column4" dataDxfId="62">
      <calculatedColumnFormula>Augmentation_Data!P2</calculatedColumnFormula>
    </tableColumn>
    <tableColumn id="7" xr3:uid="{00000000-0010-0000-2200-000007000000}" name="Column5" dataDxfId="61">
      <calculatedColumnFormula>Augmentation_Data!Q2</calculatedColumnFormula>
    </tableColumn>
    <tableColumn id="8" xr3:uid="{00000000-0010-0000-2200-000008000000}" name="Column6" dataDxfId="60">
      <calculatedColumnFormula>Augmentation_Data!R2</calculatedColumnFormula>
    </tableColumn>
  </tableColumns>
  <tableStyleInfo name="TableStyleMedium2" showFirstColumn="0" showLastColumn="0" showRowStripes="1" showColumnStripes="0"/>
</table>
</file>

<file path=xl/tables/table3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00000000-000C-0000-FFFF-FFFF23000000}" name="Support2a1119" displayName="Support2a1119" ref="AR41:AY58" totalsRowShown="0" headerRowDxfId="59" dataDxfId="58">
  <autoFilter ref="AR41:AY58" xr:uid="{00000000-0009-0000-0100-000012000000}"/>
  <tableColumns count="8">
    <tableColumn id="1" xr3:uid="{00000000-0010-0000-2300-000001000000}" name="Unit" dataDxfId="57"/>
    <tableColumn id="2" xr3:uid="{00000000-0010-0000-2300-000002000000}" name="Name" dataDxfId="56"/>
    <tableColumn id="3" xr3:uid="{00000000-0010-0000-2300-000003000000}" name="Column1" dataDxfId="55">
      <calculatedColumnFormula>Personnel_Data!D22</calculatedColumnFormula>
    </tableColumn>
    <tableColumn id="4" xr3:uid="{00000000-0010-0000-2300-000004000000}" name="Column2" dataDxfId="54">
      <calculatedColumnFormula>Personnel_Data!E22</calculatedColumnFormula>
    </tableColumn>
    <tableColumn id="5" xr3:uid="{00000000-0010-0000-2300-000005000000}" name="Column3" dataDxfId="53">
      <calculatedColumnFormula>Personnel_Data!F22</calculatedColumnFormula>
    </tableColumn>
    <tableColumn id="6" xr3:uid="{00000000-0010-0000-2300-000006000000}" name="Column4" dataDxfId="52">
      <calculatedColumnFormula>Personnel_Data!G22</calculatedColumnFormula>
    </tableColumn>
    <tableColumn id="7" xr3:uid="{00000000-0010-0000-2300-000007000000}" name="Column5" dataDxfId="51">
      <calculatedColumnFormula>Personnel_Data!H22</calculatedColumnFormula>
    </tableColumn>
    <tableColumn id="8" xr3:uid="{00000000-0010-0000-2300-000008000000}" name="Column6" dataDxfId="50">
      <calculatedColumnFormula>Personnel_Data!I22</calculatedColumnFormula>
    </tableColumn>
  </tableColumns>
  <tableStyleInfo name="TableStyleMedium2" showFirstColumn="0" showLastColumn="0" showRowStripes="1" showColumnStripes="0"/>
</table>
</file>

<file path=xl/tables/table3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00000000-000C-0000-FFFF-FFFF24000000}" name="Support2b1220" displayName="Support2b1220" ref="BA41:BH58" totalsRowShown="0" headerRowDxfId="49" dataDxfId="48">
  <autoFilter ref="BA41:BH58" xr:uid="{00000000-0009-0000-0100-000013000000}"/>
  <tableColumns count="8">
    <tableColumn id="1" xr3:uid="{00000000-0010-0000-2400-000001000000}" name="Unit" dataDxfId="47"/>
    <tableColumn id="2" xr3:uid="{00000000-0010-0000-2400-000002000000}" name="Name" dataDxfId="46"/>
    <tableColumn id="3" xr3:uid="{00000000-0010-0000-2400-000003000000}" name="Column1" dataDxfId="45">
      <calculatedColumnFormula>Personnel_Data!M22</calculatedColumnFormula>
    </tableColumn>
    <tableColumn id="4" xr3:uid="{00000000-0010-0000-2400-000004000000}" name="Column2" dataDxfId="44">
      <calculatedColumnFormula>Personnel_Data!N22</calculatedColumnFormula>
    </tableColumn>
    <tableColumn id="5" xr3:uid="{00000000-0010-0000-2400-000005000000}" name="Column3" dataDxfId="43">
      <calculatedColumnFormula>Personnel_Data!O22</calculatedColumnFormula>
    </tableColumn>
    <tableColumn id="6" xr3:uid="{00000000-0010-0000-2400-000006000000}" name="Column4" dataDxfId="42">
      <calculatedColumnFormula>Personnel_Data!P22</calculatedColumnFormula>
    </tableColumn>
    <tableColumn id="7" xr3:uid="{00000000-0010-0000-2400-000007000000}" name="Column5" dataDxfId="41">
      <calculatedColumnFormula>Personnel_Data!Q22</calculatedColumnFormula>
    </tableColumn>
    <tableColumn id="8" xr3:uid="{00000000-0010-0000-2400-000008000000}" name="Column6" dataDxfId="40">
      <calculatedColumnFormula>Personnel_Data!R22</calculatedColumnFormula>
    </tableColumn>
  </tableColumns>
  <tableStyleInfo name="TableStyleMedium2" showFirstColumn="0" showLastColumn="0" showRowStripes="1" showColumnStripes="0"/>
</table>
</file>

<file path=xl/tables/table3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00000000-000C-0000-FFFF-FFFF25000000}" name="Support3a1321" displayName="Support3a1321" ref="AR61:AY78" totalsRowShown="0" headerRowDxfId="39" dataDxfId="38">
  <autoFilter ref="AR61:AY78" xr:uid="{00000000-0009-0000-0100-000014000000}"/>
  <tableColumns count="8">
    <tableColumn id="1" xr3:uid="{00000000-0010-0000-2500-000001000000}" name="Unit" dataDxfId="37"/>
    <tableColumn id="2" xr3:uid="{00000000-0010-0000-2500-000002000000}" name="Name" dataDxfId="36"/>
    <tableColumn id="3" xr3:uid="{00000000-0010-0000-2500-000003000000}" name="Column1" dataDxfId="35">
      <calculatedColumnFormula>Personnel_Data!D42</calculatedColumnFormula>
    </tableColumn>
    <tableColumn id="4" xr3:uid="{00000000-0010-0000-2500-000004000000}" name="Column2" dataDxfId="34">
      <calculatedColumnFormula>Personnel_Data!E42</calculatedColumnFormula>
    </tableColumn>
    <tableColumn id="5" xr3:uid="{00000000-0010-0000-2500-000005000000}" name="Column3" dataDxfId="33">
      <calculatedColumnFormula>Personnel_Data!F42</calculatedColumnFormula>
    </tableColumn>
    <tableColumn id="6" xr3:uid="{00000000-0010-0000-2500-000006000000}" name="Column4" dataDxfId="32">
      <calculatedColumnFormula>Personnel_Data!G42</calculatedColumnFormula>
    </tableColumn>
    <tableColumn id="7" xr3:uid="{00000000-0010-0000-2500-000007000000}" name="Column5" dataDxfId="31">
      <calculatedColumnFormula>Personnel_Data!H42</calculatedColumnFormula>
    </tableColumn>
    <tableColumn id="8" xr3:uid="{00000000-0010-0000-2500-000008000000}" name="Column6" dataDxfId="30">
      <calculatedColumnFormula>Personnel_Data!I42</calculatedColumnFormula>
    </tableColumn>
  </tableColumns>
  <tableStyleInfo name="TableStyleMedium2" showFirstColumn="0" showLastColumn="0" showRowStripes="1" showColumnStripes="0"/>
</table>
</file>

<file path=xl/tables/table3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00000000-000C-0000-FFFF-FFFF26000000}" name="Support3b1422" displayName="Support3b1422" ref="BA61:BH78" totalsRowShown="0" headerRowDxfId="29" dataDxfId="28">
  <autoFilter ref="BA61:BH78" xr:uid="{00000000-0009-0000-0100-000015000000}"/>
  <tableColumns count="8">
    <tableColumn id="1" xr3:uid="{00000000-0010-0000-2600-000001000000}" name="Unit" dataDxfId="27"/>
    <tableColumn id="2" xr3:uid="{00000000-0010-0000-2600-000002000000}" name="Name" dataDxfId="26"/>
    <tableColumn id="3" xr3:uid="{00000000-0010-0000-2600-000003000000}" name="Column1" dataDxfId="25">
      <calculatedColumnFormula>Personnel_Data!M42</calculatedColumnFormula>
    </tableColumn>
    <tableColumn id="4" xr3:uid="{00000000-0010-0000-2600-000004000000}" name="Column2" dataDxfId="24">
      <calculatedColumnFormula>Personnel_Data!N42</calculatedColumnFormula>
    </tableColumn>
    <tableColumn id="5" xr3:uid="{00000000-0010-0000-2600-000005000000}" name="Column3" dataDxfId="23">
      <calculatedColumnFormula>Personnel_Data!O42</calculatedColumnFormula>
    </tableColumn>
    <tableColumn id="6" xr3:uid="{00000000-0010-0000-2600-000006000000}" name="Column4" dataDxfId="22">
      <calculatedColumnFormula>Personnel_Data!P42</calculatedColumnFormula>
    </tableColumn>
    <tableColumn id="7" xr3:uid="{00000000-0010-0000-2600-000007000000}" name="Column5" dataDxfId="21">
      <calculatedColumnFormula>Personnel_Data!Q42</calculatedColumnFormula>
    </tableColumn>
    <tableColumn id="8" xr3:uid="{00000000-0010-0000-2600-000008000000}" name="Column6" dataDxfId="20">
      <calculatedColumnFormula>Personnel_Data!R42</calculatedColumnFormula>
    </tableColumn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0" xr:uid="{00000000-000C-0000-FFFF-FFFF03000000}" name="RP2a" displayName="RP2a" ref="AR41:AY58" totalsRowShown="0" headerRowDxfId="379" dataDxfId="378">
  <autoFilter ref="AR41:AY58" xr:uid="{00000000-0009-0000-0100-000028000000}"/>
  <tableColumns count="8">
    <tableColumn id="1" xr3:uid="{00000000-0010-0000-0300-000001000000}" name="Unit" dataDxfId="377"/>
    <tableColumn id="2" xr3:uid="{00000000-0010-0000-0300-000002000000}" name="Name" dataDxfId="376"/>
    <tableColumn id="3" xr3:uid="{00000000-0010-0000-0300-000003000000}" name="Column1" dataDxfId="375">
      <calculatedColumnFormula>RP_Data!D22</calculatedColumnFormula>
    </tableColumn>
    <tableColumn id="4" xr3:uid="{00000000-0010-0000-0300-000004000000}" name="Column2" dataDxfId="374">
      <calculatedColumnFormula>RP_Data!E22</calculatedColumnFormula>
    </tableColumn>
    <tableColumn id="5" xr3:uid="{00000000-0010-0000-0300-000005000000}" name="Column3" dataDxfId="373">
      <calculatedColumnFormula>RP_Data!F22</calculatedColumnFormula>
    </tableColumn>
    <tableColumn id="6" xr3:uid="{00000000-0010-0000-0300-000006000000}" name="Column4" dataDxfId="372">
      <calculatedColumnFormula>RP_Data!G22</calculatedColumnFormula>
    </tableColumn>
    <tableColumn id="7" xr3:uid="{00000000-0010-0000-0300-000007000000}" name="Column5" dataDxfId="371">
      <calculatedColumnFormula>RP_Data!H22</calculatedColumnFormula>
    </tableColumn>
    <tableColumn id="8" xr3:uid="{00000000-0010-0000-0300-000008000000}" name="Column6" dataDxfId="370">
      <calculatedColumnFormula>RP_Data!I22</calculatedColumnFormula>
    </tableColumn>
  </tableColumns>
  <tableStyleInfo name="TableStyleMedium2" showFirstColumn="0" showLastColumn="0" showRowStripes="1" showColumnStripes="0"/>
</table>
</file>

<file path=xl/tables/table4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00000000-000C-0000-FFFF-FFFF27000000}" name="Support4a1523" displayName="Support4a1523" ref="AR81:AY98" totalsRowShown="0" headerRowDxfId="19" dataDxfId="18">
  <autoFilter ref="AR81:AY98" xr:uid="{00000000-0009-0000-0100-000016000000}"/>
  <tableColumns count="8">
    <tableColumn id="1" xr3:uid="{00000000-0010-0000-2700-000001000000}" name="Unit" dataDxfId="17"/>
    <tableColumn id="2" xr3:uid="{00000000-0010-0000-2700-000002000000}" name="Name" dataDxfId="16"/>
    <tableColumn id="3" xr3:uid="{00000000-0010-0000-2700-000003000000}" name="Column1" dataDxfId="15">
      <calculatedColumnFormula>Augmentation_Data!D62</calculatedColumnFormula>
    </tableColumn>
    <tableColumn id="4" xr3:uid="{00000000-0010-0000-2700-000004000000}" name="Column2" dataDxfId="14">
      <calculatedColumnFormula>Augmentation_Data!E62</calculatedColumnFormula>
    </tableColumn>
    <tableColumn id="5" xr3:uid="{00000000-0010-0000-2700-000005000000}" name="Column3" dataDxfId="13">
      <calculatedColumnFormula>Augmentation_Data!F62</calculatedColumnFormula>
    </tableColumn>
    <tableColumn id="6" xr3:uid="{00000000-0010-0000-2700-000006000000}" name="Column4" dataDxfId="12">
      <calculatedColumnFormula>Augmentation_Data!G62</calculatedColumnFormula>
    </tableColumn>
    <tableColumn id="7" xr3:uid="{00000000-0010-0000-2700-000007000000}" name="Column5" dataDxfId="11">
      <calculatedColumnFormula>Augmentation_Data!H62</calculatedColumnFormula>
    </tableColumn>
    <tableColumn id="8" xr3:uid="{00000000-0010-0000-2700-000008000000}" name="Column6" dataDxfId="10">
      <calculatedColumnFormula>Augmentation_Data!I62</calculatedColumnFormula>
    </tableColumn>
  </tableColumns>
  <tableStyleInfo name="TableStyleMedium2" showFirstColumn="0" showLastColumn="0" showRowStripes="1" showColumnStripes="0"/>
</table>
</file>

<file path=xl/tables/table4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00000000-000C-0000-FFFF-FFFF28000000}" name="Support4b1624" displayName="Support4b1624" ref="BA81:BH98" totalsRowShown="0" headerRowDxfId="9" dataDxfId="8">
  <autoFilter ref="BA81:BH98" xr:uid="{00000000-0009-0000-0100-000017000000}"/>
  <tableColumns count="8">
    <tableColumn id="1" xr3:uid="{00000000-0010-0000-2800-000001000000}" name="Unit" dataDxfId="7"/>
    <tableColumn id="2" xr3:uid="{00000000-0010-0000-2800-000002000000}" name="Name" dataDxfId="6"/>
    <tableColumn id="3" xr3:uid="{00000000-0010-0000-2800-000003000000}" name="Column1" dataDxfId="5">
      <calculatedColumnFormula>Augmentation_Data!M62</calculatedColumnFormula>
    </tableColumn>
    <tableColumn id="4" xr3:uid="{00000000-0010-0000-2800-000004000000}" name="Column2" dataDxfId="4">
      <calculatedColumnFormula>Augmentation_Data!N62</calculatedColumnFormula>
    </tableColumn>
    <tableColumn id="5" xr3:uid="{00000000-0010-0000-2800-000005000000}" name="Column3" dataDxfId="3">
      <calculatedColumnFormula>Augmentation_Data!O62</calculatedColumnFormula>
    </tableColumn>
    <tableColumn id="6" xr3:uid="{00000000-0010-0000-2800-000006000000}" name="Column4" dataDxfId="2">
      <calculatedColumnFormula>Augmentation_Data!P62</calculatedColumnFormula>
    </tableColumn>
    <tableColumn id="7" xr3:uid="{00000000-0010-0000-2800-000007000000}" name="Column5" dataDxfId="1">
      <calculatedColumnFormula>Augmentation_Data!Q62</calculatedColumnFormula>
    </tableColumn>
    <tableColumn id="8" xr3:uid="{00000000-0010-0000-2800-000008000000}" name="Column6" dataDxfId="0">
      <calculatedColumnFormula>Augmentation_Data!R62</calculatedColumnFormula>
    </tableColumn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3" xr:uid="{00000000-000C-0000-FFFF-FFFF04000000}" name="RP2b" displayName="RP2b" ref="BA41:BH58" totalsRowShown="0" headerRowDxfId="369" dataDxfId="368">
  <autoFilter ref="BA41:BH58" xr:uid="{00000000-0009-0000-0100-00002B000000}"/>
  <tableColumns count="8">
    <tableColumn id="1" xr3:uid="{00000000-0010-0000-0400-000001000000}" name="Unit" dataDxfId="367"/>
    <tableColumn id="2" xr3:uid="{00000000-0010-0000-0400-000002000000}" name="Name" dataDxfId="366"/>
    <tableColumn id="3" xr3:uid="{00000000-0010-0000-0400-000003000000}" name="Column1" dataDxfId="365">
      <calculatedColumnFormula>RP_Data!M22</calculatedColumnFormula>
    </tableColumn>
    <tableColumn id="4" xr3:uid="{00000000-0010-0000-0400-000004000000}" name="Column2" dataDxfId="364">
      <calculatedColumnFormula>RP_Data!N22</calculatedColumnFormula>
    </tableColumn>
    <tableColumn id="5" xr3:uid="{00000000-0010-0000-0400-000005000000}" name="Column3" dataDxfId="363">
      <calculatedColumnFormula>RP_Data!O22</calculatedColumnFormula>
    </tableColumn>
    <tableColumn id="6" xr3:uid="{00000000-0010-0000-0400-000006000000}" name="Column4" dataDxfId="362">
      <calculatedColumnFormula>RP_Data!P22</calculatedColumnFormula>
    </tableColumn>
    <tableColumn id="7" xr3:uid="{00000000-0010-0000-0400-000007000000}" name="Column5" dataDxfId="361">
      <calculatedColumnFormula>RP_Data!Q22</calculatedColumnFormula>
    </tableColumn>
    <tableColumn id="8" xr3:uid="{00000000-0010-0000-0400-000008000000}" name="Column6" dataDxfId="360">
      <calculatedColumnFormula>RP_Data!R22</calculatedColumnFormula>
    </tableColumn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9" xr:uid="{00000000-000C-0000-FFFF-FFFF05000000}" name="RP3a" displayName="RP3a" ref="AR61:AY78" totalsRowShown="0" headerRowDxfId="359" dataDxfId="358">
  <autoFilter ref="AR61:AY78" xr:uid="{00000000-0009-0000-0100-000027000000}"/>
  <tableColumns count="8">
    <tableColumn id="1" xr3:uid="{00000000-0010-0000-0500-000001000000}" name="Unit" dataDxfId="357"/>
    <tableColumn id="2" xr3:uid="{00000000-0010-0000-0500-000002000000}" name="Name" dataDxfId="356"/>
    <tableColumn id="3" xr3:uid="{00000000-0010-0000-0500-000003000000}" name="Column1" dataDxfId="355">
      <calculatedColumnFormula>RP_Data!D42</calculatedColumnFormula>
    </tableColumn>
    <tableColumn id="4" xr3:uid="{00000000-0010-0000-0500-000004000000}" name="Column2" dataDxfId="354">
      <calculatedColumnFormula>RP_Data!E42</calculatedColumnFormula>
    </tableColumn>
    <tableColumn id="5" xr3:uid="{00000000-0010-0000-0500-000005000000}" name="Column3" dataDxfId="353">
      <calculatedColumnFormula>RP_Data!F42</calculatedColumnFormula>
    </tableColumn>
    <tableColumn id="6" xr3:uid="{00000000-0010-0000-0500-000006000000}" name="Column4" dataDxfId="352">
      <calculatedColumnFormula>RP_Data!G42</calculatedColumnFormula>
    </tableColumn>
    <tableColumn id="7" xr3:uid="{00000000-0010-0000-0500-000007000000}" name="Column5" dataDxfId="351">
      <calculatedColumnFormula>RP_Data!H42</calculatedColumnFormula>
    </tableColumn>
    <tableColumn id="8" xr3:uid="{00000000-0010-0000-0500-000008000000}" name="Column6" dataDxfId="350">
      <calculatedColumnFormula>RP_Data!I42</calculatedColumnFormula>
    </tableColumn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1" xr:uid="{00000000-000C-0000-FFFF-FFFF06000000}" name="RP3b" displayName="RP3b" ref="BA61:BH78" totalsRowShown="0" headerRowDxfId="349" dataDxfId="348">
  <autoFilter ref="BA61:BH78" xr:uid="{00000000-0009-0000-0100-000029000000}"/>
  <tableColumns count="8">
    <tableColumn id="1" xr3:uid="{00000000-0010-0000-0600-000001000000}" name="Unit" dataDxfId="347"/>
    <tableColumn id="2" xr3:uid="{00000000-0010-0000-0600-000002000000}" name="Name" dataDxfId="346"/>
    <tableColumn id="3" xr3:uid="{00000000-0010-0000-0600-000003000000}" name="Column1" dataDxfId="345">
      <calculatedColumnFormula>RP_Data!M42</calculatedColumnFormula>
    </tableColumn>
    <tableColumn id="4" xr3:uid="{00000000-0010-0000-0600-000004000000}" name="Column2" dataDxfId="344">
      <calculatedColumnFormula>RP_Data!N42</calculatedColumnFormula>
    </tableColumn>
    <tableColumn id="5" xr3:uid="{00000000-0010-0000-0600-000005000000}" name="Column3" dataDxfId="343">
      <calculatedColumnFormula>RP_Data!O42</calculatedColumnFormula>
    </tableColumn>
    <tableColumn id="6" xr3:uid="{00000000-0010-0000-0600-000006000000}" name="Column4" dataDxfId="342">
      <calculatedColumnFormula>RP_Data!P42</calculatedColumnFormula>
    </tableColumn>
    <tableColumn id="7" xr3:uid="{00000000-0010-0000-0600-000007000000}" name="Column5" dataDxfId="341">
      <calculatedColumnFormula>RP_Data!Q42</calculatedColumnFormula>
    </tableColumn>
    <tableColumn id="8" xr3:uid="{00000000-0010-0000-0600-000008000000}" name="Column6" dataDxfId="340">
      <calculatedColumnFormula>RP_Data!R42</calculatedColumnFormula>
    </tableColumn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4" xr:uid="{00000000-000C-0000-FFFF-FFFF07000000}" name="RP4a" displayName="RP4a" ref="AR81:AY98" totalsRowShown="0" headerRowDxfId="339" dataDxfId="338">
  <autoFilter ref="AR81:AY98" xr:uid="{00000000-0009-0000-0100-00002C000000}"/>
  <tableColumns count="8">
    <tableColumn id="1" xr3:uid="{00000000-0010-0000-0700-000001000000}" name="Unit" dataDxfId="337"/>
    <tableColumn id="2" xr3:uid="{00000000-0010-0000-0700-000002000000}" name="Name" dataDxfId="336"/>
    <tableColumn id="3" xr3:uid="{00000000-0010-0000-0700-000003000000}" name="Column1" dataDxfId="335">
      <calculatedColumnFormula>RP_Data!D62</calculatedColumnFormula>
    </tableColumn>
    <tableColumn id="4" xr3:uid="{00000000-0010-0000-0700-000004000000}" name="Column2" dataDxfId="334">
      <calculatedColumnFormula>RP_Data!E62</calculatedColumnFormula>
    </tableColumn>
    <tableColumn id="5" xr3:uid="{00000000-0010-0000-0700-000005000000}" name="Column3" dataDxfId="333">
      <calculatedColumnFormula>RP_Data!F62</calculatedColumnFormula>
    </tableColumn>
    <tableColumn id="6" xr3:uid="{00000000-0010-0000-0700-000006000000}" name="Column4" dataDxfId="332">
      <calculatedColumnFormula>RP_Data!G62</calculatedColumnFormula>
    </tableColumn>
    <tableColumn id="7" xr3:uid="{00000000-0010-0000-0700-000007000000}" name="Column5" dataDxfId="331">
      <calculatedColumnFormula>RP_Data!H62</calculatedColumnFormula>
    </tableColumn>
    <tableColumn id="8" xr3:uid="{00000000-0010-0000-0700-000008000000}" name="Column6" dataDxfId="330">
      <calculatedColumnFormula>RP_Data!I62</calculatedColumnFormula>
    </tableColumn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5" xr:uid="{00000000-000C-0000-FFFF-FFFF08000000}" name="RP4b" displayName="RP4b" ref="BA81:BH98" totalsRowShown="0" headerRowDxfId="329" dataDxfId="328">
  <autoFilter ref="BA81:BH98" xr:uid="{00000000-0009-0000-0100-00002D000000}"/>
  <tableColumns count="8">
    <tableColumn id="1" xr3:uid="{00000000-0010-0000-0800-000001000000}" name="Unit" dataDxfId="327"/>
    <tableColumn id="2" xr3:uid="{00000000-0010-0000-0800-000002000000}" name="Name" dataDxfId="326"/>
    <tableColumn id="3" xr3:uid="{00000000-0010-0000-0800-000003000000}" name="Column1" dataDxfId="325">
      <calculatedColumnFormula>RP_Data!M62</calculatedColumnFormula>
    </tableColumn>
    <tableColumn id="4" xr3:uid="{00000000-0010-0000-0800-000004000000}" name="Column2" dataDxfId="324">
      <calculatedColumnFormula>RP_Data!N62</calculatedColumnFormula>
    </tableColumn>
    <tableColumn id="5" xr3:uid="{00000000-0010-0000-0800-000005000000}" name="Column3" dataDxfId="323">
      <calculatedColumnFormula>RP_Data!O62</calculatedColumnFormula>
    </tableColumn>
    <tableColumn id="6" xr3:uid="{00000000-0010-0000-0800-000006000000}" name="Column4" dataDxfId="322">
      <calculatedColumnFormula>RP_Data!P62</calculatedColumnFormula>
    </tableColumn>
    <tableColumn id="7" xr3:uid="{00000000-0010-0000-0800-000007000000}" name="Column5" dataDxfId="321">
      <calculatedColumnFormula>RP_Data!Q62</calculatedColumnFormula>
    </tableColumn>
    <tableColumn id="8" xr3:uid="{00000000-0010-0000-0800-000008000000}" name="Column6" dataDxfId="320">
      <calculatedColumnFormula>RP_Data!R62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table" Target="../tables/table7.xml"/><Relationship Id="rId3" Type="http://schemas.openxmlformats.org/officeDocument/2006/relationships/table" Target="../tables/table2.xml"/><Relationship Id="rId7" Type="http://schemas.openxmlformats.org/officeDocument/2006/relationships/table" Target="../tables/table6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10" Type="http://schemas.openxmlformats.org/officeDocument/2006/relationships/table" Target="../tables/table9.xml"/><Relationship Id="rId4" Type="http://schemas.openxmlformats.org/officeDocument/2006/relationships/table" Target="../tables/table3.xml"/><Relationship Id="rId9" Type="http://schemas.openxmlformats.org/officeDocument/2006/relationships/table" Target="../tables/table8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table" Target="../tables/table15.xml"/><Relationship Id="rId3" Type="http://schemas.openxmlformats.org/officeDocument/2006/relationships/table" Target="../tables/table10.xml"/><Relationship Id="rId7" Type="http://schemas.openxmlformats.org/officeDocument/2006/relationships/table" Target="../tables/table14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6" Type="http://schemas.openxmlformats.org/officeDocument/2006/relationships/table" Target="../tables/table13.xml"/><Relationship Id="rId5" Type="http://schemas.openxmlformats.org/officeDocument/2006/relationships/table" Target="../tables/table12.xml"/><Relationship Id="rId10" Type="http://schemas.openxmlformats.org/officeDocument/2006/relationships/table" Target="../tables/table17.xml"/><Relationship Id="rId4" Type="http://schemas.openxmlformats.org/officeDocument/2006/relationships/table" Target="../tables/table11.xml"/><Relationship Id="rId9" Type="http://schemas.openxmlformats.org/officeDocument/2006/relationships/table" Target="../tables/table16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table" Target="../tables/table23.xml"/><Relationship Id="rId3" Type="http://schemas.openxmlformats.org/officeDocument/2006/relationships/table" Target="../tables/table18.xml"/><Relationship Id="rId7" Type="http://schemas.openxmlformats.org/officeDocument/2006/relationships/table" Target="../tables/table22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6" Type="http://schemas.openxmlformats.org/officeDocument/2006/relationships/table" Target="../tables/table21.xml"/><Relationship Id="rId5" Type="http://schemas.openxmlformats.org/officeDocument/2006/relationships/table" Target="../tables/table20.xml"/><Relationship Id="rId10" Type="http://schemas.openxmlformats.org/officeDocument/2006/relationships/table" Target="../tables/table25.xml"/><Relationship Id="rId4" Type="http://schemas.openxmlformats.org/officeDocument/2006/relationships/table" Target="../tables/table19.xml"/><Relationship Id="rId9" Type="http://schemas.openxmlformats.org/officeDocument/2006/relationships/table" Target="../tables/table24.x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table" Target="../tables/table31.xml"/><Relationship Id="rId3" Type="http://schemas.openxmlformats.org/officeDocument/2006/relationships/table" Target="../tables/table26.xml"/><Relationship Id="rId7" Type="http://schemas.openxmlformats.org/officeDocument/2006/relationships/table" Target="../tables/table30.x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6" Type="http://schemas.openxmlformats.org/officeDocument/2006/relationships/table" Target="../tables/table29.xml"/><Relationship Id="rId5" Type="http://schemas.openxmlformats.org/officeDocument/2006/relationships/table" Target="../tables/table28.xml"/><Relationship Id="rId10" Type="http://schemas.openxmlformats.org/officeDocument/2006/relationships/table" Target="../tables/table33.xml"/><Relationship Id="rId4" Type="http://schemas.openxmlformats.org/officeDocument/2006/relationships/table" Target="../tables/table27.xml"/><Relationship Id="rId9" Type="http://schemas.openxmlformats.org/officeDocument/2006/relationships/table" Target="../tables/table32.xm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table" Target="../tables/table39.xml"/><Relationship Id="rId3" Type="http://schemas.openxmlformats.org/officeDocument/2006/relationships/table" Target="../tables/table34.xml"/><Relationship Id="rId7" Type="http://schemas.openxmlformats.org/officeDocument/2006/relationships/table" Target="../tables/table38.x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6" Type="http://schemas.openxmlformats.org/officeDocument/2006/relationships/table" Target="../tables/table37.xml"/><Relationship Id="rId5" Type="http://schemas.openxmlformats.org/officeDocument/2006/relationships/table" Target="../tables/table36.xml"/><Relationship Id="rId10" Type="http://schemas.openxmlformats.org/officeDocument/2006/relationships/table" Target="../tables/table41.xml"/><Relationship Id="rId4" Type="http://schemas.openxmlformats.org/officeDocument/2006/relationships/table" Target="../tables/table35.xml"/><Relationship Id="rId9" Type="http://schemas.openxmlformats.org/officeDocument/2006/relationships/table" Target="../tables/table40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0"/>
  </sheetPr>
  <dimension ref="A1:N200"/>
  <sheetViews>
    <sheetView zoomScaleNormal="100" workbookViewId="0">
      <selection activeCell="C10" sqref="C10"/>
    </sheetView>
  </sheetViews>
  <sheetFormatPr defaultColWidth="8.77734375" defaultRowHeight="14.4"/>
  <cols>
    <col min="1" max="1" width="47.109375" style="4" customWidth="1"/>
    <col min="2" max="2" width="23.33203125" style="4" customWidth="1"/>
    <col min="3" max="3" width="50.33203125" style="4" customWidth="1"/>
    <col min="4" max="4" width="23" style="4" customWidth="1"/>
    <col min="5" max="5" width="2.77734375" style="4" customWidth="1"/>
    <col min="6" max="6" width="7.6640625" style="4" customWidth="1"/>
    <col min="7" max="7" width="18.109375" style="4" customWidth="1"/>
    <col min="8" max="8" width="100.6640625" style="4" customWidth="1"/>
    <col min="9" max="9" width="10.6640625" style="4" customWidth="1"/>
    <col min="10" max="14" width="50.6640625" style="4" customWidth="1"/>
  </cols>
  <sheetData>
    <row r="1" spans="1:14">
      <c r="B1" s="11"/>
      <c r="H1" s="11"/>
      <c r="I1" s="11"/>
      <c r="J1" s="11"/>
      <c r="K1" s="11"/>
      <c r="L1" s="11"/>
      <c r="M1" s="11"/>
      <c r="N1" s="11"/>
    </row>
    <row r="2" spans="1:14">
      <c r="B2" s="19"/>
      <c r="H2" s="19"/>
      <c r="I2" s="19"/>
      <c r="J2" s="19"/>
      <c r="K2" s="19"/>
      <c r="L2" s="19"/>
      <c r="M2" s="19"/>
      <c r="N2" s="19"/>
    </row>
    <row r="3" spans="1:14">
      <c r="H3" s="20"/>
      <c r="I3" s="20"/>
      <c r="J3" s="20"/>
      <c r="K3" s="20"/>
      <c r="L3" s="20"/>
      <c r="M3" s="20"/>
      <c r="N3" s="20"/>
    </row>
    <row r="4" spans="1:14" ht="30" customHeight="1">
      <c r="A4" s="112" t="s">
        <v>70</v>
      </c>
      <c r="H4" s="7"/>
      <c r="I4" s="7"/>
      <c r="J4" s="7"/>
      <c r="K4" s="7"/>
      <c r="L4" s="7"/>
      <c r="M4" s="7"/>
      <c r="N4" s="7"/>
    </row>
    <row r="5" spans="1:14" ht="30" customHeight="1">
      <c r="A5" s="61" t="str">
        <f>Date_Control!B4</f>
        <v>JULY 2026</v>
      </c>
      <c r="C5" s="7"/>
      <c r="D5" s="5"/>
      <c r="H5" s="7"/>
      <c r="I5" s="7"/>
      <c r="J5" s="7"/>
      <c r="K5" s="7"/>
      <c r="L5" s="7"/>
      <c r="M5" s="7"/>
      <c r="N5" s="7"/>
    </row>
    <row r="6" spans="1:14">
      <c r="C6" s="7"/>
      <c r="D6" s="6"/>
      <c r="E6" s="6"/>
      <c r="F6" s="6"/>
    </row>
    <row r="7" spans="1:14" ht="24.45" customHeight="1">
      <c r="A7" s="45"/>
      <c r="B7" s="6"/>
      <c r="C7" s="113" t="s">
        <v>52</v>
      </c>
      <c r="D7" s="6"/>
      <c r="E7" s="6"/>
      <c r="F7" s="6"/>
      <c r="G7" s="6"/>
      <c r="H7" s="6"/>
      <c r="I7" s="6"/>
      <c r="J7" s="6"/>
      <c r="K7" s="6"/>
      <c r="L7" s="6"/>
      <c r="M7" s="6"/>
      <c r="N7" s="6"/>
    </row>
    <row r="8" spans="1:14" ht="18">
      <c r="C8" s="113" t="s">
        <v>51</v>
      </c>
    </row>
    <row r="9" spans="1:14" ht="15" thickBot="1">
      <c r="A9" s="7"/>
      <c r="C9" s="6"/>
      <c r="D9" s="7"/>
      <c r="E9" s="7"/>
      <c r="F9" s="7"/>
      <c r="G9" s="7"/>
      <c r="H9" s="7"/>
      <c r="I9" s="7"/>
      <c r="J9" s="7"/>
      <c r="K9" s="7"/>
      <c r="L9" s="7"/>
      <c r="M9" s="7"/>
      <c r="N9" s="7"/>
    </row>
    <row r="10" spans="1:14" ht="22.2" thickTop="1" thickBot="1">
      <c r="A10" s="7"/>
      <c r="C10" s="54" t="s">
        <v>26</v>
      </c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spans="1:14" ht="12" customHeight="1" thickTop="1">
      <c r="A11" s="48"/>
      <c r="C11" s="7"/>
    </row>
    <row r="12" spans="1:14" ht="31.2" customHeight="1">
      <c r="A12" s="47"/>
      <c r="D12" s="5"/>
    </row>
    <row r="13" spans="1:14" ht="18">
      <c r="A13" s="47"/>
      <c r="C13" s="7"/>
    </row>
    <row r="14" spans="1:14" ht="18">
      <c r="A14" s="47"/>
      <c r="N14"/>
    </row>
    <row r="15" spans="1:14" ht="18">
      <c r="A15" s="47"/>
    </row>
    <row r="16" spans="1:14" ht="18">
      <c r="A16" s="47"/>
    </row>
    <row r="17" spans="1:1" ht="18">
      <c r="A17" s="47"/>
    </row>
    <row r="18" spans="1:1" ht="18">
      <c r="A18" s="47"/>
    </row>
    <row r="19" spans="1:1" ht="18">
      <c r="A19" s="47"/>
    </row>
    <row r="20" spans="1:1" ht="15" customHeight="1">
      <c r="A20" s="47"/>
    </row>
    <row r="21" spans="1:1" ht="14.55" customHeight="1">
      <c r="A21" s="47"/>
    </row>
    <row r="22" spans="1:1" ht="18">
      <c r="A22" s="47"/>
    </row>
    <row r="23" spans="1:1" ht="18">
      <c r="A23" s="47"/>
    </row>
    <row r="24" spans="1:1" ht="18">
      <c r="A24" s="47"/>
    </row>
    <row r="25" spans="1:1" ht="18">
      <c r="A25" s="47"/>
    </row>
    <row r="93" spans="1:4">
      <c r="B93" s="49"/>
      <c r="C93" s="49"/>
      <c r="D93" s="49"/>
    </row>
    <row r="94" spans="1:4">
      <c r="A94" s="49"/>
      <c r="B94" s="49"/>
      <c r="C94" s="49"/>
      <c r="D94" s="49"/>
    </row>
    <row r="95" spans="1:4">
      <c r="A95" s="50" t="s">
        <v>18</v>
      </c>
      <c r="B95" s="49"/>
      <c r="C95" s="52" t="s">
        <v>22</v>
      </c>
      <c r="D95" s="49"/>
    </row>
    <row r="96" spans="1:4">
      <c r="A96" s="51" t="s">
        <v>26</v>
      </c>
      <c r="B96" s="49"/>
      <c r="C96" s="49" t="b">
        <v>1</v>
      </c>
      <c r="D96" s="49"/>
    </row>
    <row r="97" spans="1:4">
      <c r="A97" s="51" t="s">
        <v>28</v>
      </c>
      <c r="B97" s="49"/>
      <c r="C97" s="49" t="str">
        <f>LEFT(C96)</f>
        <v>T</v>
      </c>
      <c r="D97" s="49"/>
    </row>
    <row r="98" spans="1:4">
      <c r="A98" s="51" t="s">
        <v>114</v>
      </c>
      <c r="B98" s="49"/>
      <c r="C98" s="49"/>
      <c r="D98" s="49"/>
    </row>
    <row r="99" spans="1:4">
      <c r="A99" s="51" t="s">
        <v>115</v>
      </c>
      <c r="B99" s="49"/>
      <c r="C99" s="49"/>
      <c r="D99" s="49"/>
    </row>
    <row r="100" spans="1:4">
      <c r="A100" s="51" t="s">
        <v>116</v>
      </c>
      <c r="B100" s="49"/>
      <c r="C100" s="49"/>
      <c r="D100" s="49"/>
    </row>
    <row r="101" spans="1:4">
      <c r="A101" s="51" t="s">
        <v>117</v>
      </c>
      <c r="B101" s="49"/>
      <c r="C101" s="49"/>
      <c r="D101" s="49"/>
    </row>
    <row r="102" spans="1:4">
      <c r="A102" s="51" t="s">
        <v>118</v>
      </c>
      <c r="B102" s="49"/>
      <c r="C102" s="49"/>
      <c r="D102" s="49"/>
    </row>
    <row r="103" spans="1:4">
      <c r="A103" s="51" t="s">
        <v>119</v>
      </c>
      <c r="B103" s="49"/>
      <c r="C103" s="49"/>
      <c r="D103" s="49"/>
    </row>
    <row r="104" spans="1:4">
      <c r="A104" s="51" t="s">
        <v>120</v>
      </c>
      <c r="B104" s="49"/>
      <c r="C104" s="49"/>
      <c r="D104" s="49"/>
    </row>
    <row r="105" spans="1:4">
      <c r="A105" s="51" t="s">
        <v>121</v>
      </c>
      <c r="B105" s="49"/>
      <c r="C105" s="49"/>
      <c r="D105" s="49"/>
    </row>
    <row r="106" spans="1:4">
      <c r="A106" s="51" t="s">
        <v>122</v>
      </c>
      <c r="B106" s="49"/>
      <c r="C106" s="49"/>
      <c r="D106" s="49"/>
    </row>
    <row r="107" spans="1:4">
      <c r="A107" s="51" t="s">
        <v>123</v>
      </c>
      <c r="B107" s="49"/>
      <c r="C107" s="49"/>
      <c r="D107" s="49"/>
    </row>
    <row r="108" spans="1:4">
      <c r="A108" s="51" t="s">
        <v>124</v>
      </c>
      <c r="B108" s="49"/>
      <c r="C108" s="49"/>
      <c r="D108" s="49"/>
    </row>
    <row r="109" spans="1:4">
      <c r="A109" s="51" t="s">
        <v>125</v>
      </c>
      <c r="B109" s="49"/>
      <c r="C109" s="49"/>
      <c r="D109" s="49"/>
    </row>
    <row r="110" spans="1:4">
      <c r="A110" s="51" t="s">
        <v>126</v>
      </c>
      <c r="B110" s="49"/>
      <c r="C110" s="49"/>
      <c r="D110" s="49"/>
    </row>
    <row r="111" spans="1:4">
      <c r="A111" s="51" t="s">
        <v>127</v>
      </c>
      <c r="B111" s="49"/>
      <c r="C111" s="49"/>
      <c r="D111" s="49"/>
    </row>
    <row r="112" spans="1:4">
      <c r="A112" s="51" t="s">
        <v>128</v>
      </c>
      <c r="B112" s="49"/>
      <c r="C112" s="49"/>
      <c r="D112" s="49"/>
    </row>
    <row r="113" spans="1:4">
      <c r="A113" s="51" t="s">
        <v>129</v>
      </c>
      <c r="B113" s="49"/>
      <c r="D113" s="49"/>
    </row>
    <row r="114" spans="1:4">
      <c r="A114" s="49"/>
    </row>
    <row r="200" spans="1:1">
      <c r="A200" s="4" t="s">
        <v>113</v>
      </c>
    </row>
  </sheetData>
  <protectedRanges>
    <protectedRange sqref="A7 C7:C8" name="Range1"/>
  </protectedRanges>
  <phoneticPr fontId="11" type="noConversion"/>
  <dataValidations count="1">
    <dataValidation type="list" allowBlank="1" showInputMessage="1" showErrorMessage="1" prompt="Select from drop down menu." sqref="C10" xr:uid="{00000000-0002-0000-0000-000000000000}">
      <formula1>Districts</formula1>
    </dataValidation>
  </dataValidations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R78"/>
  <sheetViews>
    <sheetView zoomScale="80" zoomScaleNormal="80" workbookViewId="0">
      <selection sqref="A1:A2"/>
    </sheetView>
  </sheetViews>
  <sheetFormatPr defaultColWidth="8.77734375" defaultRowHeight="14.4"/>
  <cols>
    <col min="1" max="1" width="27.44140625" customWidth="1"/>
    <col min="3" max="3" width="25.33203125" customWidth="1"/>
    <col min="12" max="12" width="25.33203125" customWidth="1"/>
  </cols>
  <sheetData>
    <row r="1" spans="1:18">
      <c r="A1" s="177" t="s">
        <v>60</v>
      </c>
      <c r="B1" s="97" t="s">
        <v>146</v>
      </c>
      <c r="C1" s="97" t="s">
        <v>147</v>
      </c>
      <c r="D1" s="97">
        <v>2021</v>
      </c>
      <c r="E1" s="97">
        <v>2022</v>
      </c>
      <c r="F1" s="97">
        <v>2023</v>
      </c>
      <c r="G1" s="97">
        <v>2024</v>
      </c>
      <c r="H1" s="97">
        <v>2025</v>
      </c>
      <c r="I1" s="97">
        <v>2026</v>
      </c>
      <c r="K1" s="97" t="s">
        <v>146</v>
      </c>
      <c r="L1" s="97" t="s">
        <v>147</v>
      </c>
      <c r="M1" s="97">
        <v>2021</v>
      </c>
      <c r="N1" s="97">
        <v>2022</v>
      </c>
      <c r="O1" s="97">
        <v>2023</v>
      </c>
      <c r="P1" s="97">
        <v>2024</v>
      </c>
      <c r="Q1" s="97">
        <v>2025</v>
      </c>
      <c r="R1" s="97">
        <v>2026</v>
      </c>
    </row>
    <row r="2" spans="1:18">
      <c r="A2" s="177"/>
      <c r="B2" s="98" t="s">
        <v>0</v>
      </c>
      <c r="C2" s="98" t="s">
        <v>131</v>
      </c>
      <c r="D2" s="99">
        <v>706.75</v>
      </c>
      <c r="E2" s="99">
        <v>2363.3999999999996</v>
      </c>
      <c r="F2" s="99">
        <v>1960.33</v>
      </c>
      <c r="G2" s="99">
        <v>2330.31</v>
      </c>
      <c r="H2" s="99">
        <v>2205.17</v>
      </c>
      <c r="I2" s="99">
        <v>826.65</v>
      </c>
      <c r="K2" s="98" t="s">
        <v>0</v>
      </c>
      <c r="L2" s="98" t="s">
        <v>131</v>
      </c>
      <c r="M2" s="99">
        <v>332</v>
      </c>
      <c r="N2" s="99">
        <v>1620.05</v>
      </c>
      <c r="O2" s="99">
        <v>885</v>
      </c>
      <c r="P2" s="99">
        <v>1019.97</v>
      </c>
      <c r="Q2" s="99">
        <v>1167.5</v>
      </c>
      <c r="R2" s="99">
        <v>826.65</v>
      </c>
    </row>
    <row r="3" spans="1:18" ht="15" customHeight="1">
      <c r="A3" s="152"/>
      <c r="B3" s="98" t="s">
        <v>1</v>
      </c>
      <c r="C3" s="98" t="s">
        <v>130</v>
      </c>
      <c r="D3" s="99">
        <v>4116.8500000000004</v>
      </c>
      <c r="E3" s="99">
        <v>6942.6</v>
      </c>
      <c r="F3" s="99">
        <v>5590.15</v>
      </c>
      <c r="G3" s="99">
        <v>4756.8500000000004</v>
      </c>
      <c r="H3" s="99">
        <v>4176.1499999999996</v>
      </c>
      <c r="I3" s="99">
        <v>1955</v>
      </c>
      <c r="K3" s="98" t="s">
        <v>1</v>
      </c>
      <c r="L3" s="98" t="s">
        <v>130</v>
      </c>
      <c r="M3" s="99">
        <v>1753.75</v>
      </c>
      <c r="N3" s="99">
        <v>3961.2</v>
      </c>
      <c r="O3" s="99">
        <v>2851.39</v>
      </c>
      <c r="P3" s="99">
        <v>2425.4499999999998</v>
      </c>
      <c r="Q3" s="99">
        <v>2030.8500000000001</v>
      </c>
      <c r="R3" s="99">
        <v>1955</v>
      </c>
    </row>
    <row r="4" spans="1:18" ht="15" customHeight="1">
      <c r="A4" s="152"/>
      <c r="B4" s="98" t="s">
        <v>2</v>
      </c>
      <c r="C4" s="98" t="s">
        <v>132</v>
      </c>
      <c r="D4" s="99">
        <v>715</v>
      </c>
      <c r="E4" s="99">
        <v>1643.73</v>
      </c>
      <c r="F4" s="99">
        <v>4805.7</v>
      </c>
      <c r="G4" s="99">
        <v>3857.95</v>
      </c>
      <c r="H4" s="99">
        <v>3772</v>
      </c>
      <c r="I4" s="99">
        <v>1909.6200000000001</v>
      </c>
      <c r="K4" s="98" t="s">
        <v>2</v>
      </c>
      <c r="L4" s="98" t="s">
        <v>132</v>
      </c>
      <c r="M4" s="99">
        <v>38</v>
      </c>
      <c r="N4" s="99">
        <v>722.15</v>
      </c>
      <c r="O4" s="99">
        <v>3182.25</v>
      </c>
      <c r="P4" s="99">
        <v>1966</v>
      </c>
      <c r="Q4" s="99">
        <v>1464.2</v>
      </c>
      <c r="R4" s="99">
        <v>1909.6200000000001</v>
      </c>
    </row>
    <row r="5" spans="1:18">
      <c r="A5" s="152"/>
      <c r="B5" s="98" t="s">
        <v>3</v>
      </c>
      <c r="C5" s="98" t="s">
        <v>133</v>
      </c>
      <c r="D5" s="99">
        <v>2217.25</v>
      </c>
      <c r="E5" s="99">
        <v>1395.9</v>
      </c>
      <c r="F5" s="99">
        <v>3420.5999999999995</v>
      </c>
      <c r="G5" s="99">
        <v>2033.31</v>
      </c>
      <c r="H5" s="99">
        <v>2648.26</v>
      </c>
      <c r="I5" s="99">
        <v>650.25</v>
      </c>
      <c r="K5" s="98" t="s">
        <v>3</v>
      </c>
      <c r="L5" s="98" t="s">
        <v>133</v>
      </c>
      <c r="M5" s="99">
        <v>309.5</v>
      </c>
      <c r="N5" s="99">
        <v>464.2</v>
      </c>
      <c r="O5" s="99">
        <v>1918.0000000000002</v>
      </c>
      <c r="P5" s="99">
        <v>991.85</v>
      </c>
      <c r="Q5" s="99">
        <v>1468.81</v>
      </c>
      <c r="R5" s="99">
        <v>650.25</v>
      </c>
    </row>
    <row r="6" spans="1:18">
      <c r="A6" s="152"/>
      <c r="B6" s="98" t="s">
        <v>4</v>
      </c>
      <c r="C6" s="98" t="s">
        <v>134</v>
      </c>
      <c r="D6" s="99">
        <v>7175.74</v>
      </c>
      <c r="E6" s="99">
        <v>10060.040000000001</v>
      </c>
      <c r="F6" s="99">
        <v>11450.59</v>
      </c>
      <c r="G6" s="99">
        <v>7094.35</v>
      </c>
      <c r="H6" s="99">
        <v>6834.15</v>
      </c>
      <c r="I6" s="99">
        <v>3300.8500000000004</v>
      </c>
      <c r="K6" s="98" t="s">
        <v>4</v>
      </c>
      <c r="L6" s="98" t="s">
        <v>134</v>
      </c>
      <c r="M6" s="99">
        <v>2228.9899999999998</v>
      </c>
      <c r="N6" s="99">
        <v>5674</v>
      </c>
      <c r="O6" s="99">
        <v>5214.8700000000008</v>
      </c>
      <c r="P6" s="99">
        <v>3662.05</v>
      </c>
      <c r="Q6" s="99">
        <v>3532.45</v>
      </c>
      <c r="R6" s="99">
        <v>3300.8500000000004</v>
      </c>
    </row>
    <row r="7" spans="1:18">
      <c r="A7" s="152"/>
      <c r="B7" s="98" t="s">
        <v>5</v>
      </c>
      <c r="C7" s="98" t="s">
        <v>135</v>
      </c>
      <c r="D7" s="99">
        <v>1417.6399999999999</v>
      </c>
      <c r="E7" s="99">
        <v>1367.75</v>
      </c>
      <c r="F7" s="99">
        <v>1831.19</v>
      </c>
      <c r="G7" s="99">
        <v>2189.92</v>
      </c>
      <c r="H7" s="99">
        <v>2269.42</v>
      </c>
      <c r="I7" s="99">
        <v>780.75</v>
      </c>
      <c r="K7" s="98" t="s">
        <v>5</v>
      </c>
      <c r="L7" s="98" t="s">
        <v>135</v>
      </c>
      <c r="M7" s="99">
        <v>978.27</v>
      </c>
      <c r="N7" s="99">
        <v>530.75</v>
      </c>
      <c r="O7" s="99">
        <v>747.85</v>
      </c>
      <c r="P7" s="99">
        <v>837.5</v>
      </c>
      <c r="Q7" s="99">
        <v>1149</v>
      </c>
      <c r="R7" s="99">
        <v>780.75</v>
      </c>
    </row>
    <row r="8" spans="1:18">
      <c r="A8" s="152"/>
      <c r="B8" s="98" t="s">
        <v>6</v>
      </c>
      <c r="C8" s="98" t="s">
        <v>136</v>
      </c>
      <c r="D8" s="99">
        <v>2081</v>
      </c>
      <c r="E8" s="99">
        <v>945</v>
      </c>
      <c r="F8" s="99">
        <v>456.5</v>
      </c>
      <c r="G8" s="99">
        <v>456.25</v>
      </c>
      <c r="H8" s="99">
        <v>807.25</v>
      </c>
      <c r="I8" s="99">
        <v>176</v>
      </c>
      <c r="K8" s="98" t="s">
        <v>6</v>
      </c>
      <c r="L8" s="98" t="s">
        <v>136</v>
      </c>
      <c r="M8" s="99">
        <v>994</v>
      </c>
      <c r="N8" s="99">
        <v>774.5</v>
      </c>
      <c r="O8" s="99">
        <v>303.5</v>
      </c>
      <c r="P8" s="99">
        <v>180.5</v>
      </c>
      <c r="Q8" s="99">
        <v>396.5</v>
      </c>
      <c r="R8" s="99">
        <v>176</v>
      </c>
    </row>
    <row r="9" spans="1:18">
      <c r="A9" s="152"/>
      <c r="B9" s="98" t="s">
        <v>7</v>
      </c>
      <c r="C9" s="98" t="s">
        <v>137</v>
      </c>
      <c r="D9" s="99">
        <v>1469.5</v>
      </c>
      <c r="E9" s="99">
        <v>173</v>
      </c>
      <c r="F9" s="99">
        <v>1036</v>
      </c>
      <c r="G9" s="99">
        <v>1011.5</v>
      </c>
      <c r="H9" s="99">
        <v>1309.5</v>
      </c>
      <c r="I9" s="99">
        <v>775.5</v>
      </c>
      <c r="K9" s="98" t="s">
        <v>7</v>
      </c>
      <c r="L9" s="98" t="s">
        <v>137</v>
      </c>
      <c r="M9" s="99">
        <v>822.5</v>
      </c>
      <c r="N9" s="99">
        <v>20.5</v>
      </c>
      <c r="O9" s="99">
        <v>695</v>
      </c>
      <c r="P9" s="99">
        <v>247</v>
      </c>
      <c r="Q9" s="99">
        <v>882</v>
      </c>
      <c r="R9" s="99">
        <v>775.5</v>
      </c>
    </row>
    <row r="10" spans="1:18">
      <c r="A10" s="152"/>
      <c r="B10" s="98" t="s">
        <v>8</v>
      </c>
      <c r="C10" s="98" t="s">
        <v>138</v>
      </c>
      <c r="D10" s="99">
        <v>2491.65</v>
      </c>
      <c r="E10" s="99">
        <v>4545.1999999999989</v>
      </c>
      <c r="F10" s="99">
        <v>4392.05</v>
      </c>
      <c r="G10" s="99">
        <v>2561.2599999999998</v>
      </c>
      <c r="H10" s="99">
        <v>2303.29</v>
      </c>
      <c r="I10" s="99">
        <v>732.66</v>
      </c>
      <c r="K10" s="98" t="s">
        <v>8</v>
      </c>
      <c r="L10" s="98" t="s">
        <v>138</v>
      </c>
      <c r="M10" s="99">
        <v>755.95</v>
      </c>
      <c r="N10" s="99">
        <v>1774.7500000000002</v>
      </c>
      <c r="O10" s="99">
        <v>3119.8199999999997</v>
      </c>
      <c r="P10" s="99">
        <v>1468.7</v>
      </c>
      <c r="Q10" s="99">
        <v>1523.8</v>
      </c>
      <c r="R10" s="99">
        <v>732.66</v>
      </c>
    </row>
    <row r="11" spans="1:18">
      <c r="A11" s="152"/>
      <c r="B11" s="98" t="s">
        <v>9</v>
      </c>
      <c r="C11" s="98" t="s">
        <v>139</v>
      </c>
      <c r="D11" s="99">
        <v>1093.75</v>
      </c>
      <c r="E11" s="99">
        <v>1082.5</v>
      </c>
      <c r="F11" s="99">
        <v>1094.5</v>
      </c>
      <c r="G11" s="99">
        <v>1406.25</v>
      </c>
      <c r="H11" s="99">
        <v>1277.31</v>
      </c>
      <c r="I11" s="99">
        <v>319.75</v>
      </c>
      <c r="K11" s="98" t="s">
        <v>9</v>
      </c>
      <c r="L11" s="98" t="s">
        <v>139</v>
      </c>
      <c r="M11" s="99">
        <v>415.5</v>
      </c>
      <c r="N11" s="99">
        <v>473.75</v>
      </c>
      <c r="O11" s="99">
        <v>513.75</v>
      </c>
      <c r="P11" s="99">
        <v>785</v>
      </c>
      <c r="Q11" s="99">
        <v>650.26</v>
      </c>
      <c r="R11" s="99">
        <v>319.75</v>
      </c>
    </row>
    <row r="12" spans="1:18">
      <c r="A12" s="152"/>
      <c r="B12" s="98" t="s">
        <v>10</v>
      </c>
      <c r="C12" s="98" t="s">
        <v>140</v>
      </c>
      <c r="D12" s="99">
        <v>114</v>
      </c>
      <c r="E12" s="99">
        <v>181</v>
      </c>
      <c r="F12" s="99">
        <v>1541.34</v>
      </c>
      <c r="G12" s="99">
        <v>1661.75</v>
      </c>
      <c r="H12" s="99">
        <v>1165.75</v>
      </c>
      <c r="I12" s="99">
        <v>979.5</v>
      </c>
      <c r="K12" s="98" t="s">
        <v>10</v>
      </c>
      <c r="L12" s="98" t="s">
        <v>140</v>
      </c>
      <c r="M12" s="99">
        <v>99</v>
      </c>
      <c r="N12" s="99">
        <v>65</v>
      </c>
      <c r="O12" s="99">
        <v>1341</v>
      </c>
      <c r="P12" s="99">
        <v>899.75</v>
      </c>
      <c r="Q12" s="99">
        <v>428.25</v>
      </c>
      <c r="R12" s="99">
        <v>979.5</v>
      </c>
    </row>
    <row r="13" spans="1:18">
      <c r="A13" s="152"/>
      <c r="B13" s="98" t="s">
        <v>11</v>
      </c>
      <c r="C13" s="98" t="s">
        <v>141</v>
      </c>
      <c r="D13" s="99">
        <v>217</v>
      </c>
      <c r="E13" s="99">
        <v>637</v>
      </c>
      <c r="F13" s="99">
        <v>2100.5</v>
      </c>
      <c r="G13" s="99">
        <v>464.2</v>
      </c>
      <c r="H13" s="99">
        <v>1849.55</v>
      </c>
      <c r="I13" s="99">
        <v>263</v>
      </c>
      <c r="K13" s="98" t="s">
        <v>11</v>
      </c>
      <c r="L13" s="98" t="s">
        <v>141</v>
      </c>
      <c r="M13" s="99">
        <v>25.5</v>
      </c>
      <c r="N13" s="99">
        <v>216</v>
      </c>
      <c r="O13" s="99">
        <v>608.5</v>
      </c>
      <c r="P13" s="99">
        <v>208.7</v>
      </c>
      <c r="Q13" s="99">
        <v>714.1</v>
      </c>
      <c r="R13" s="99">
        <v>263</v>
      </c>
    </row>
    <row r="14" spans="1:18">
      <c r="A14" s="152"/>
      <c r="B14" s="98" t="s">
        <v>12</v>
      </c>
      <c r="C14" s="98" t="s">
        <v>142</v>
      </c>
      <c r="D14" s="99">
        <v>759.3</v>
      </c>
      <c r="E14" s="99">
        <v>459.05</v>
      </c>
      <c r="F14" s="99">
        <v>3603.1499999999996</v>
      </c>
      <c r="G14" s="99">
        <v>2834.55</v>
      </c>
      <c r="H14" s="99">
        <v>3281.4</v>
      </c>
      <c r="I14" s="99">
        <v>1282.5</v>
      </c>
      <c r="K14" s="98" t="s">
        <v>12</v>
      </c>
      <c r="L14" s="98" t="s">
        <v>142</v>
      </c>
      <c r="M14" s="99">
        <v>229</v>
      </c>
      <c r="N14" s="99">
        <v>215.25</v>
      </c>
      <c r="O14" s="99">
        <v>1268.0500000000002</v>
      </c>
      <c r="P14" s="99">
        <v>1470.8500000000001</v>
      </c>
      <c r="Q14" s="99">
        <v>1539.25</v>
      </c>
      <c r="R14" s="99">
        <v>1282.5</v>
      </c>
    </row>
    <row r="15" spans="1:18">
      <c r="A15" s="152"/>
      <c r="B15" s="98" t="s">
        <v>13</v>
      </c>
      <c r="C15" s="98" t="s">
        <v>143</v>
      </c>
      <c r="D15" s="99">
        <v>4375.5</v>
      </c>
      <c r="E15" s="99">
        <v>3467.4700000000003</v>
      </c>
      <c r="F15" s="99">
        <v>1727.5</v>
      </c>
      <c r="G15" s="99">
        <v>2139.4499999999998</v>
      </c>
      <c r="H15" s="99">
        <v>3750.25</v>
      </c>
      <c r="I15" s="99">
        <v>886.75</v>
      </c>
      <c r="K15" s="98" t="s">
        <v>13</v>
      </c>
      <c r="L15" s="98" t="s">
        <v>143</v>
      </c>
      <c r="M15" s="99">
        <v>338</v>
      </c>
      <c r="N15" s="99">
        <v>2079.4700000000003</v>
      </c>
      <c r="O15" s="99">
        <v>996</v>
      </c>
      <c r="P15" s="99">
        <v>927.5</v>
      </c>
      <c r="Q15" s="99">
        <v>1277.75</v>
      </c>
      <c r="R15" s="99">
        <v>886.75</v>
      </c>
    </row>
    <row r="16" spans="1:18">
      <c r="A16" s="152"/>
      <c r="B16" s="98" t="s">
        <v>14</v>
      </c>
      <c r="C16" s="98" t="s">
        <v>144</v>
      </c>
      <c r="D16" s="99">
        <v>390.59000000000003</v>
      </c>
      <c r="E16" s="99">
        <v>510.5</v>
      </c>
      <c r="F16" s="99">
        <v>388.5</v>
      </c>
      <c r="G16" s="99">
        <v>299.25</v>
      </c>
      <c r="H16" s="99">
        <v>358</v>
      </c>
      <c r="I16" s="99">
        <v>487.5</v>
      </c>
      <c r="K16" s="98" t="s">
        <v>14</v>
      </c>
      <c r="L16" s="98" t="s">
        <v>144</v>
      </c>
      <c r="M16" s="99">
        <v>234.92000000000002</v>
      </c>
      <c r="N16" s="99">
        <v>239.92000000000002</v>
      </c>
      <c r="O16" s="99">
        <v>295</v>
      </c>
      <c r="P16" s="99">
        <v>158.75</v>
      </c>
      <c r="Q16" s="99">
        <v>114</v>
      </c>
      <c r="R16" s="99">
        <v>487.5</v>
      </c>
    </row>
    <row r="17" spans="1:18">
      <c r="A17" s="152"/>
      <c r="B17" s="98" t="s">
        <v>15</v>
      </c>
      <c r="C17" s="98" t="s">
        <v>145</v>
      </c>
      <c r="D17" s="99">
        <v>2141.5</v>
      </c>
      <c r="E17" s="99">
        <v>4469.25</v>
      </c>
      <c r="F17" s="99">
        <v>4100.5</v>
      </c>
      <c r="G17" s="99">
        <v>1776</v>
      </c>
      <c r="H17" s="99">
        <v>1292.5</v>
      </c>
      <c r="I17" s="99">
        <v>0</v>
      </c>
      <c r="K17" s="98" t="s">
        <v>15</v>
      </c>
      <c r="L17" s="98" t="s">
        <v>145</v>
      </c>
      <c r="M17" s="99">
        <v>456</v>
      </c>
      <c r="N17" s="99">
        <v>2537.5</v>
      </c>
      <c r="O17" s="99">
        <v>2572.5</v>
      </c>
      <c r="P17" s="99">
        <v>1413.5</v>
      </c>
      <c r="Q17" s="99">
        <v>887</v>
      </c>
      <c r="R17" s="99">
        <v>0</v>
      </c>
    </row>
    <row r="18" spans="1:18">
      <c r="A18" s="152"/>
      <c r="B18" s="98"/>
      <c r="C18" s="100"/>
      <c r="D18" s="110">
        <v>31483.02</v>
      </c>
      <c r="E18" s="110">
        <v>40243.389999999992</v>
      </c>
      <c r="F18" s="110">
        <v>49499.1</v>
      </c>
      <c r="G18" s="110">
        <v>36873.15</v>
      </c>
      <c r="H18" s="110">
        <v>39299.950000000004</v>
      </c>
      <c r="I18" s="110">
        <v>15326.28</v>
      </c>
      <c r="K18" s="98"/>
      <c r="L18" s="100"/>
      <c r="M18" s="110">
        <v>10010.880000000001</v>
      </c>
      <c r="N18" s="110">
        <v>21368.989999999998</v>
      </c>
      <c r="O18" s="110">
        <v>26512.48</v>
      </c>
      <c r="P18" s="110">
        <v>18663.07</v>
      </c>
      <c r="Q18" s="110">
        <v>19225.72</v>
      </c>
      <c r="R18" s="110">
        <v>15326.28</v>
      </c>
    </row>
    <row r="21" spans="1:18" ht="15" customHeight="1">
      <c r="A21" s="178" t="s">
        <v>61</v>
      </c>
      <c r="B21" s="106" t="s">
        <v>146</v>
      </c>
      <c r="C21" s="106" t="s">
        <v>147</v>
      </c>
      <c r="D21" s="106">
        <v>2021</v>
      </c>
      <c r="E21" s="106">
        <v>2022</v>
      </c>
      <c r="F21" s="106">
        <v>2023</v>
      </c>
      <c r="G21" s="106">
        <v>2024</v>
      </c>
      <c r="H21" s="106">
        <v>2025</v>
      </c>
      <c r="I21" s="106">
        <v>2026</v>
      </c>
      <c r="K21" s="106" t="s">
        <v>146</v>
      </c>
      <c r="L21" s="106" t="s">
        <v>147</v>
      </c>
      <c r="M21" s="106">
        <v>2021</v>
      </c>
      <c r="N21" s="106">
        <v>2022</v>
      </c>
      <c r="O21" s="106">
        <v>2023</v>
      </c>
      <c r="P21" s="106">
        <v>2024</v>
      </c>
      <c r="Q21" s="106">
        <v>2025</v>
      </c>
      <c r="R21" s="106">
        <v>2026</v>
      </c>
    </row>
    <row r="22" spans="1:18" ht="15" customHeight="1">
      <c r="A22" s="178"/>
      <c r="B22" s="107" t="s">
        <v>0</v>
      </c>
      <c r="C22" s="107" t="s">
        <v>131</v>
      </c>
      <c r="D22" s="108">
        <v>760.2</v>
      </c>
      <c r="E22" s="108">
        <v>973.5</v>
      </c>
      <c r="F22" s="108">
        <v>1737</v>
      </c>
      <c r="G22" s="108">
        <v>764</v>
      </c>
      <c r="H22" s="108">
        <v>668.5</v>
      </c>
      <c r="I22" s="108">
        <v>118.5</v>
      </c>
      <c r="K22" s="107" t="s">
        <v>0</v>
      </c>
      <c r="L22" s="107" t="s">
        <v>131</v>
      </c>
      <c r="M22" s="108">
        <v>332.2</v>
      </c>
      <c r="N22" s="108">
        <v>391.5</v>
      </c>
      <c r="O22" s="108">
        <v>1228.5</v>
      </c>
      <c r="P22" s="108">
        <v>507</v>
      </c>
      <c r="Q22" s="108">
        <v>355.5</v>
      </c>
      <c r="R22" s="108">
        <v>118.5</v>
      </c>
    </row>
    <row r="23" spans="1:18" ht="15" customHeight="1">
      <c r="A23" s="151"/>
      <c r="B23" s="107" t="s">
        <v>1</v>
      </c>
      <c r="C23" s="107" t="s">
        <v>130</v>
      </c>
      <c r="D23" s="108">
        <v>16</v>
      </c>
      <c r="E23" s="108">
        <v>70</v>
      </c>
      <c r="F23" s="108">
        <v>700</v>
      </c>
      <c r="G23" s="108">
        <v>485</v>
      </c>
      <c r="H23" s="108">
        <v>316</v>
      </c>
      <c r="I23" s="108">
        <v>126</v>
      </c>
      <c r="K23" s="107" t="s">
        <v>1</v>
      </c>
      <c r="L23" s="107" t="s">
        <v>130</v>
      </c>
      <c r="M23" s="108">
        <v>1</v>
      </c>
      <c r="N23" s="108">
        <v>36</v>
      </c>
      <c r="O23" s="108">
        <v>359</v>
      </c>
      <c r="P23" s="108">
        <v>166</v>
      </c>
      <c r="Q23" s="108">
        <v>173</v>
      </c>
      <c r="R23" s="108">
        <v>126</v>
      </c>
    </row>
    <row r="24" spans="1:18" ht="15" customHeight="1">
      <c r="A24" s="151"/>
      <c r="B24" s="107" t="s">
        <v>2</v>
      </c>
      <c r="C24" s="107" t="s">
        <v>132</v>
      </c>
      <c r="D24" s="108">
        <v>0</v>
      </c>
      <c r="E24" s="108">
        <v>129</v>
      </c>
      <c r="F24" s="108">
        <v>447.5</v>
      </c>
      <c r="G24" s="108">
        <v>633.5</v>
      </c>
      <c r="H24" s="108">
        <v>654.25</v>
      </c>
      <c r="I24" s="108">
        <v>280</v>
      </c>
      <c r="K24" s="107" t="s">
        <v>2</v>
      </c>
      <c r="L24" s="107" t="s">
        <v>132</v>
      </c>
      <c r="M24" s="108">
        <v>0</v>
      </c>
      <c r="N24" s="108">
        <v>24</v>
      </c>
      <c r="O24" s="108">
        <v>210</v>
      </c>
      <c r="P24" s="108">
        <v>298.5</v>
      </c>
      <c r="Q24" s="108">
        <v>361</v>
      </c>
      <c r="R24" s="108">
        <v>280</v>
      </c>
    </row>
    <row r="25" spans="1:18">
      <c r="A25" s="151"/>
      <c r="B25" s="107" t="s">
        <v>3</v>
      </c>
      <c r="C25" s="107" t="s">
        <v>133</v>
      </c>
      <c r="D25" s="108">
        <v>1203</v>
      </c>
      <c r="E25" s="108">
        <v>1097.5</v>
      </c>
      <c r="F25" s="108">
        <v>1580.5</v>
      </c>
      <c r="G25" s="108">
        <v>1847.5</v>
      </c>
      <c r="H25" s="108">
        <v>744</v>
      </c>
      <c r="I25" s="108">
        <v>186</v>
      </c>
      <c r="K25" s="107" t="s">
        <v>3</v>
      </c>
      <c r="L25" s="107" t="s">
        <v>133</v>
      </c>
      <c r="M25" s="108">
        <v>826.5</v>
      </c>
      <c r="N25" s="108">
        <v>585.5</v>
      </c>
      <c r="O25" s="108">
        <v>530.75</v>
      </c>
      <c r="P25" s="108">
        <v>1251</v>
      </c>
      <c r="Q25" s="108">
        <v>431.5</v>
      </c>
      <c r="R25" s="108">
        <v>186</v>
      </c>
    </row>
    <row r="26" spans="1:18">
      <c r="A26" s="151"/>
      <c r="B26" s="107" t="s">
        <v>4</v>
      </c>
      <c r="C26" s="107" t="s">
        <v>134</v>
      </c>
      <c r="D26" s="108">
        <v>2576</v>
      </c>
      <c r="E26" s="108">
        <v>2948.5</v>
      </c>
      <c r="F26" s="108">
        <v>5315.7</v>
      </c>
      <c r="G26" s="108">
        <v>6605.8799999999992</v>
      </c>
      <c r="H26" s="108">
        <v>6420.75</v>
      </c>
      <c r="I26" s="108">
        <v>3944.1499999999996</v>
      </c>
      <c r="K26" s="107" t="s">
        <v>4</v>
      </c>
      <c r="L26" s="107" t="s">
        <v>134</v>
      </c>
      <c r="M26" s="108">
        <v>1299.5</v>
      </c>
      <c r="N26" s="108">
        <v>1468.5</v>
      </c>
      <c r="O26" s="108">
        <v>3552.45</v>
      </c>
      <c r="P26" s="108">
        <v>4495.2800000000007</v>
      </c>
      <c r="Q26" s="108">
        <v>2320</v>
      </c>
      <c r="R26" s="108">
        <v>3944.1499999999996</v>
      </c>
    </row>
    <row r="27" spans="1:18">
      <c r="A27" s="151"/>
      <c r="B27" s="107" t="s">
        <v>5</v>
      </c>
      <c r="C27" s="107" t="s">
        <v>135</v>
      </c>
      <c r="D27" s="108">
        <v>360.75</v>
      </c>
      <c r="E27" s="108">
        <v>484.75</v>
      </c>
      <c r="F27" s="108">
        <v>798.5</v>
      </c>
      <c r="G27" s="108">
        <v>449</v>
      </c>
      <c r="H27" s="108">
        <v>786.25</v>
      </c>
      <c r="I27" s="108">
        <v>197</v>
      </c>
      <c r="K27" s="107" t="s">
        <v>5</v>
      </c>
      <c r="L27" s="107" t="s">
        <v>135</v>
      </c>
      <c r="M27" s="108">
        <v>239</v>
      </c>
      <c r="N27" s="108">
        <v>120.5</v>
      </c>
      <c r="O27" s="108">
        <v>346.75</v>
      </c>
      <c r="P27" s="108">
        <v>272.25</v>
      </c>
      <c r="Q27" s="108">
        <v>251</v>
      </c>
      <c r="R27" s="108">
        <v>197</v>
      </c>
    </row>
    <row r="28" spans="1:18">
      <c r="A28" s="151"/>
      <c r="B28" s="107" t="s">
        <v>6</v>
      </c>
      <c r="C28" s="107" t="s">
        <v>136</v>
      </c>
      <c r="D28" s="108">
        <v>277.5</v>
      </c>
      <c r="E28" s="108">
        <v>133.5</v>
      </c>
      <c r="F28" s="108">
        <v>427</v>
      </c>
      <c r="G28" s="108">
        <v>264.7</v>
      </c>
      <c r="H28" s="108">
        <v>227.5</v>
      </c>
      <c r="I28" s="108">
        <v>29</v>
      </c>
      <c r="K28" s="107" t="s">
        <v>6</v>
      </c>
      <c r="L28" s="107" t="s">
        <v>136</v>
      </c>
      <c r="M28" s="108">
        <v>113</v>
      </c>
      <c r="N28" s="108">
        <v>69.5</v>
      </c>
      <c r="O28" s="108">
        <v>189.5</v>
      </c>
      <c r="P28" s="108">
        <v>134.25</v>
      </c>
      <c r="Q28" s="108">
        <v>139.75</v>
      </c>
      <c r="R28" s="108">
        <v>29</v>
      </c>
    </row>
    <row r="29" spans="1:18">
      <c r="A29" s="151"/>
      <c r="B29" s="107" t="s">
        <v>7</v>
      </c>
      <c r="C29" s="107" t="s">
        <v>137</v>
      </c>
      <c r="D29" s="108">
        <v>125.75</v>
      </c>
      <c r="E29" s="108">
        <v>38</v>
      </c>
      <c r="F29" s="108">
        <v>61.5</v>
      </c>
      <c r="G29" s="108">
        <v>609.5</v>
      </c>
      <c r="H29" s="108">
        <v>409.75</v>
      </c>
      <c r="I29" s="108">
        <v>36.5</v>
      </c>
      <c r="K29" s="107" t="s">
        <v>7</v>
      </c>
      <c r="L29" s="107" t="s">
        <v>137</v>
      </c>
      <c r="M29" s="108">
        <v>77.25</v>
      </c>
      <c r="N29" s="108">
        <v>31</v>
      </c>
      <c r="O29" s="108">
        <v>29</v>
      </c>
      <c r="P29" s="108">
        <v>266</v>
      </c>
      <c r="Q29" s="108">
        <v>232.25</v>
      </c>
      <c r="R29" s="108">
        <v>36.5</v>
      </c>
    </row>
    <row r="30" spans="1:18">
      <c r="A30" s="151"/>
      <c r="B30" s="107" t="s">
        <v>8</v>
      </c>
      <c r="C30" s="107" t="s">
        <v>138</v>
      </c>
      <c r="D30" s="108">
        <v>358.25</v>
      </c>
      <c r="E30" s="108">
        <v>498.5</v>
      </c>
      <c r="F30" s="108">
        <v>361.63</v>
      </c>
      <c r="G30" s="108">
        <v>254.8</v>
      </c>
      <c r="H30" s="108">
        <v>770.5</v>
      </c>
      <c r="I30" s="108">
        <v>122</v>
      </c>
      <c r="K30" s="107" t="s">
        <v>8</v>
      </c>
      <c r="L30" s="107" t="s">
        <v>138</v>
      </c>
      <c r="M30" s="108">
        <v>91</v>
      </c>
      <c r="N30" s="108">
        <v>212</v>
      </c>
      <c r="O30" s="108">
        <v>306.63</v>
      </c>
      <c r="P30" s="108">
        <v>106</v>
      </c>
      <c r="Q30" s="108">
        <v>264</v>
      </c>
      <c r="R30" s="108">
        <v>122</v>
      </c>
    </row>
    <row r="31" spans="1:18">
      <c r="A31" s="151"/>
      <c r="B31" s="107" t="s">
        <v>9</v>
      </c>
      <c r="C31" s="107" t="s">
        <v>139</v>
      </c>
      <c r="D31" s="108">
        <v>0</v>
      </c>
      <c r="E31" s="108">
        <v>4.25</v>
      </c>
      <c r="F31" s="108">
        <v>57</v>
      </c>
      <c r="G31" s="108">
        <v>88</v>
      </c>
      <c r="H31" s="108">
        <v>58</v>
      </c>
      <c r="I31" s="108">
        <v>0</v>
      </c>
      <c r="K31" s="107" t="s">
        <v>9</v>
      </c>
      <c r="L31" s="107" t="s">
        <v>139</v>
      </c>
      <c r="M31" s="108">
        <v>0</v>
      </c>
      <c r="N31" s="108">
        <v>0</v>
      </c>
      <c r="O31" s="108">
        <v>0</v>
      </c>
      <c r="P31" s="108">
        <v>56</v>
      </c>
      <c r="Q31" s="108">
        <v>56</v>
      </c>
      <c r="R31" s="108">
        <v>0</v>
      </c>
    </row>
    <row r="32" spans="1:18">
      <c r="A32" s="151"/>
      <c r="B32" s="107" t="s">
        <v>10</v>
      </c>
      <c r="C32" s="107" t="s">
        <v>140</v>
      </c>
      <c r="D32" s="108">
        <v>0</v>
      </c>
      <c r="E32" s="108">
        <v>23</v>
      </c>
      <c r="F32" s="108">
        <v>163</v>
      </c>
      <c r="G32" s="108">
        <v>0</v>
      </c>
      <c r="H32" s="108">
        <v>185</v>
      </c>
      <c r="I32" s="108">
        <v>0</v>
      </c>
      <c r="K32" s="107" t="s">
        <v>10</v>
      </c>
      <c r="L32" s="107" t="s">
        <v>140</v>
      </c>
      <c r="M32" s="108">
        <v>0</v>
      </c>
      <c r="N32" s="108">
        <v>0</v>
      </c>
      <c r="O32" s="108">
        <v>151</v>
      </c>
      <c r="P32" s="108">
        <v>0</v>
      </c>
      <c r="Q32" s="108">
        <v>3</v>
      </c>
      <c r="R32" s="108">
        <v>0</v>
      </c>
    </row>
    <row r="33" spans="1:18">
      <c r="A33" s="151"/>
      <c r="B33" s="107" t="s">
        <v>11</v>
      </c>
      <c r="C33" s="107" t="s">
        <v>141</v>
      </c>
      <c r="D33" s="108">
        <v>615</v>
      </c>
      <c r="E33" s="108">
        <v>217.84</v>
      </c>
      <c r="F33" s="108">
        <v>333</v>
      </c>
      <c r="G33" s="108">
        <v>21.5</v>
      </c>
      <c r="H33" s="108">
        <v>67.069999999999993</v>
      </c>
      <c r="I33" s="108">
        <v>0</v>
      </c>
      <c r="K33" s="107" t="s">
        <v>11</v>
      </c>
      <c r="L33" s="107" t="s">
        <v>141</v>
      </c>
      <c r="M33" s="108">
        <v>385.25</v>
      </c>
      <c r="N33" s="108">
        <v>77.84</v>
      </c>
      <c r="O33" s="108">
        <v>323</v>
      </c>
      <c r="P33" s="108">
        <v>0</v>
      </c>
      <c r="Q33" s="108">
        <v>26.5</v>
      </c>
      <c r="R33" s="108">
        <v>0</v>
      </c>
    </row>
    <row r="34" spans="1:18">
      <c r="A34" s="151"/>
      <c r="B34" s="107" t="s">
        <v>12</v>
      </c>
      <c r="C34" s="107" t="s">
        <v>142</v>
      </c>
      <c r="D34" s="108">
        <v>637</v>
      </c>
      <c r="E34" s="108">
        <v>296</v>
      </c>
      <c r="F34" s="108">
        <v>411.5</v>
      </c>
      <c r="G34" s="108">
        <v>322.45</v>
      </c>
      <c r="H34" s="108">
        <v>389.1</v>
      </c>
      <c r="I34" s="108">
        <v>91.75</v>
      </c>
      <c r="K34" s="107" t="s">
        <v>12</v>
      </c>
      <c r="L34" s="107" t="s">
        <v>142</v>
      </c>
      <c r="M34" s="108">
        <v>269</v>
      </c>
      <c r="N34" s="108">
        <v>128</v>
      </c>
      <c r="O34" s="108">
        <v>307.5</v>
      </c>
      <c r="P34" s="108">
        <v>183.2</v>
      </c>
      <c r="Q34" s="108">
        <v>128.85</v>
      </c>
      <c r="R34" s="108">
        <v>91.75</v>
      </c>
    </row>
    <row r="35" spans="1:18">
      <c r="A35" s="151"/>
      <c r="B35" s="107" t="s">
        <v>13</v>
      </c>
      <c r="C35" s="107" t="s">
        <v>143</v>
      </c>
      <c r="D35" s="108">
        <v>283.64999999999998</v>
      </c>
      <c r="E35" s="108">
        <v>2097</v>
      </c>
      <c r="F35" s="108">
        <v>1884.73</v>
      </c>
      <c r="G35" s="108">
        <v>1786.83</v>
      </c>
      <c r="H35" s="108">
        <v>1696.87</v>
      </c>
      <c r="I35" s="108">
        <v>509.59000000000003</v>
      </c>
      <c r="K35" s="107" t="s">
        <v>13</v>
      </c>
      <c r="L35" s="107" t="s">
        <v>143</v>
      </c>
      <c r="M35" s="108">
        <v>86</v>
      </c>
      <c r="N35" s="108">
        <v>166.3</v>
      </c>
      <c r="O35" s="108">
        <v>740.45</v>
      </c>
      <c r="P35" s="108">
        <v>1375</v>
      </c>
      <c r="Q35" s="108">
        <v>1012.04</v>
      </c>
      <c r="R35" s="108">
        <v>509.59000000000003</v>
      </c>
    </row>
    <row r="36" spans="1:18">
      <c r="A36" s="151"/>
      <c r="B36" s="107" t="s">
        <v>14</v>
      </c>
      <c r="C36" s="107" t="s">
        <v>144</v>
      </c>
      <c r="D36" s="108">
        <v>0</v>
      </c>
      <c r="E36" s="108">
        <v>33</v>
      </c>
      <c r="F36" s="108">
        <v>16</v>
      </c>
      <c r="G36" s="108">
        <v>2</v>
      </c>
      <c r="H36" s="108">
        <v>0</v>
      </c>
      <c r="I36" s="108">
        <v>0</v>
      </c>
      <c r="K36" s="107" t="s">
        <v>14</v>
      </c>
      <c r="L36" s="107" t="s">
        <v>144</v>
      </c>
      <c r="M36" s="108">
        <v>0</v>
      </c>
      <c r="N36" s="108">
        <v>33</v>
      </c>
      <c r="O36" s="108">
        <v>0</v>
      </c>
      <c r="P36" s="108">
        <v>2</v>
      </c>
      <c r="Q36" s="108">
        <v>0</v>
      </c>
      <c r="R36" s="108">
        <v>0</v>
      </c>
    </row>
    <row r="37" spans="1:18">
      <c r="A37" s="151"/>
      <c r="B37" s="107" t="s">
        <v>15</v>
      </c>
      <c r="C37" s="107" t="s">
        <v>145</v>
      </c>
      <c r="D37" s="108">
        <v>118</v>
      </c>
      <c r="E37" s="108">
        <v>34.5</v>
      </c>
      <c r="F37" s="108">
        <v>512</v>
      </c>
      <c r="G37" s="108">
        <v>608.5</v>
      </c>
      <c r="H37" s="108">
        <v>246.10000000000002</v>
      </c>
      <c r="I37" s="108">
        <v>91.5</v>
      </c>
      <c r="K37" s="107" t="s">
        <v>15</v>
      </c>
      <c r="L37" s="107" t="s">
        <v>145</v>
      </c>
      <c r="M37" s="108">
        <v>86</v>
      </c>
      <c r="N37" s="108">
        <v>26</v>
      </c>
      <c r="O37" s="108">
        <v>211</v>
      </c>
      <c r="P37" s="108">
        <v>303.5</v>
      </c>
      <c r="Q37" s="108">
        <v>101.6</v>
      </c>
      <c r="R37" s="108">
        <v>91.5</v>
      </c>
    </row>
    <row r="38" spans="1:18">
      <c r="A38" s="151"/>
      <c r="B38" s="107"/>
      <c r="C38" s="109"/>
      <c r="D38" s="77">
        <v>7331.0999999999995</v>
      </c>
      <c r="E38" s="77">
        <v>9078.84</v>
      </c>
      <c r="F38" s="77">
        <v>14806.56</v>
      </c>
      <c r="G38" s="77">
        <v>14743.16</v>
      </c>
      <c r="H38" s="77">
        <v>13639.640000000001</v>
      </c>
      <c r="I38" s="77">
        <v>5731.99</v>
      </c>
      <c r="K38" s="107"/>
      <c r="L38" s="109"/>
      <c r="M38" s="77">
        <v>3805.7</v>
      </c>
      <c r="N38" s="77">
        <v>3369.6400000000003</v>
      </c>
      <c r="O38" s="77">
        <v>8485.5300000000007</v>
      </c>
      <c r="P38" s="77">
        <v>9415.98</v>
      </c>
      <c r="Q38" s="77">
        <v>5855.9900000000007</v>
      </c>
      <c r="R38" s="77">
        <v>5731.99</v>
      </c>
    </row>
    <row r="41" spans="1:18" ht="23.4">
      <c r="A41" s="153" t="s">
        <v>55</v>
      </c>
      <c r="B41" s="101" t="s">
        <v>146</v>
      </c>
      <c r="C41" s="101" t="s">
        <v>147</v>
      </c>
      <c r="D41" s="101">
        <v>2021</v>
      </c>
      <c r="E41" s="101">
        <v>2022</v>
      </c>
      <c r="F41" s="101">
        <v>2023</v>
      </c>
      <c r="G41" s="101">
        <v>2024</v>
      </c>
      <c r="H41" s="101">
        <v>2025</v>
      </c>
      <c r="I41" s="101">
        <v>2026</v>
      </c>
      <c r="K41" s="101" t="s">
        <v>146</v>
      </c>
      <c r="L41" s="101" t="s">
        <v>147</v>
      </c>
      <c r="M41" s="101">
        <v>2021</v>
      </c>
      <c r="N41" s="101">
        <v>2022</v>
      </c>
      <c r="O41" s="101">
        <v>2023</v>
      </c>
      <c r="P41" s="101">
        <v>2024</v>
      </c>
      <c r="Q41" s="101">
        <v>2025</v>
      </c>
      <c r="R41" s="101">
        <v>2026</v>
      </c>
    </row>
    <row r="42" spans="1:18">
      <c r="A42" s="137"/>
      <c r="B42" s="102" t="s">
        <v>0</v>
      </c>
      <c r="C42" s="102" t="s">
        <v>131</v>
      </c>
      <c r="D42" s="103">
        <v>118.75</v>
      </c>
      <c r="E42" s="103">
        <v>358.79999999999995</v>
      </c>
      <c r="F42" s="103">
        <v>208</v>
      </c>
      <c r="G42" s="103">
        <v>358</v>
      </c>
      <c r="H42" s="103">
        <v>188.3</v>
      </c>
      <c r="I42" s="103">
        <v>29</v>
      </c>
      <c r="K42" s="102" t="s">
        <v>0</v>
      </c>
      <c r="L42" s="102" t="s">
        <v>131</v>
      </c>
      <c r="M42" s="103">
        <v>35.75</v>
      </c>
      <c r="N42" s="103">
        <v>115.25</v>
      </c>
      <c r="O42" s="103">
        <v>94.25</v>
      </c>
      <c r="P42" s="103">
        <v>186.25</v>
      </c>
      <c r="Q42" s="103">
        <v>88.4</v>
      </c>
      <c r="R42" s="103">
        <v>29</v>
      </c>
    </row>
    <row r="43" spans="1:18">
      <c r="A43" s="137"/>
      <c r="B43" s="102" t="s">
        <v>1</v>
      </c>
      <c r="C43" s="102" t="s">
        <v>130</v>
      </c>
      <c r="D43" s="103">
        <v>526</v>
      </c>
      <c r="E43" s="103">
        <v>567.04999999999995</v>
      </c>
      <c r="F43" s="103">
        <v>344.25</v>
      </c>
      <c r="G43" s="103">
        <v>396.72</v>
      </c>
      <c r="H43" s="103">
        <v>735.66</v>
      </c>
      <c r="I43" s="103">
        <v>419.77</v>
      </c>
      <c r="K43" s="102" t="s">
        <v>1</v>
      </c>
      <c r="L43" s="102" t="s">
        <v>130</v>
      </c>
      <c r="M43" s="103">
        <v>239</v>
      </c>
      <c r="N43" s="103">
        <v>417.05</v>
      </c>
      <c r="O43" s="103">
        <v>235</v>
      </c>
      <c r="P43" s="103">
        <v>266.5</v>
      </c>
      <c r="Q43" s="103">
        <v>230.43</v>
      </c>
      <c r="R43" s="103">
        <v>419.77</v>
      </c>
    </row>
    <row r="44" spans="1:18">
      <c r="A44" s="137"/>
      <c r="B44" s="102" t="s">
        <v>2</v>
      </c>
      <c r="C44" s="102" t="s">
        <v>132</v>
      </c>
      <c r="D44" s="103">
        <v>301.85000000000002</v>
      </c>
      <c r="E44" s="103">
        <v>379.47</v>
      </c>
      <c r="F44" s="103">
        <v>404.7</v>
      </c>
      <c r="G44" s="103">
        <v>90.8</v>
      </c>
      <c r="H44" s="103">
        <v>106.07</v>
      </c>
      <c r="I44" s="103">
        <v>62.25</v>
      </c>
      <c r="K44" s="102" t="s">
        <v>2</v>
      </c>
      <c r="L44" s="102" t="s">
        <v>132</v>
      </c>
      <c r="M44" s="103">
        <v>157.25</v>
      </c>
      <c r="N44" s="103">
        <v>229.3</v>
      </c>
      <c r="O44" s="103">
        <v>157.69999999999999</v>
      </c>
      <c r="P44" s="103">
        <v>43.8</v>
      </c>
      <c r="Q44" s="103">
        <v>44.9</v>
      </c>
      <c r="R44" s="103">
        <v>62.25</v>
      </c>
    </row>
    <row r="45" spans="1:18">
      <c r="A45" s="137"/>
      <c r="B45" s="102" t="s">
        <v>3</v>
      </c>
      <c r="C45" s="102" t="s">
        <v>133</v>
      </c>
      <c r="D45" s="103">
        <v>674.28</v>
      </c>
      <c r="E45" s="103">
        <v>1024.45</v>
      </c>
      <c r="F45" s="103">
        <v>956</v>
      </c>
      <c r="G45" s="103">
        <v>1539.65</v>
      </c>
      <c r="H45" s="103">
        <v>958.06</v>
      </c>
      <c r="I45" s="103">
        <v>47</v>
      </c>
      <c r="K45" s="102" t="s">
        <v>3</v>
      </c>
      <c r="L45" s="102" t="s">
        <v>133</v>
      </c>
      <c r="M45" s="103">
        <v>236.10000000000002</v>
      </c>
      <c r="N45" s="103">
        <v>308.95</v>
      </c>
      <c r="O45" s="103">
        <v>224.7</v>
      </c>
      <c r="P45" s="103">
        <v>403.65</v>
      </c>
      <c r="Q45" s="103">
        <v>183.35999999999999</v>
      </c>
      <c r="R45" s="103">
        <v>47</v>
      </c>
    </row>
    <row r="46" spans="1:18">
      <c r="A46" s="137"/>
      <c r="B46" s="102" t="s">
        <v>4</v>
      </c>
      <c r="C46" s="102" t="s">
        <v>134</v>
      </c>
      <c r="D46" s="103">
        <v>3459.77</v>
      </c>
      <c r="E46" s="103">
        <v>4447.07</v>
      </c>
      <c r="F46" s="103">
        <v>4449.68</v>
      </c>
      <c r="G46" s="103">
        <v>3260.33</v>
      </c>
      <c r="H46" s="103">
        <v>3680.3500000000004</v>
      </c>
      <c r="I46" s="103">
        <v>1200.8699999999999</v>
      </c>
      <c r="K46" s="102" t="s">
        <v>4</v>
      </c>
      <c r="L46" s="102" t="s">
        <v>134</v>
      </c>
      <c r="M46" s="103">
        <v>1465.57</v>
      </c>
      <c r="N46" s="103">
        <v>2272.5699999999997</v>
      </c>
      <c r="O46" s="103">
        <v>2449</v>
      </c>
      <c r="P46" s="103">
        <v>1822.55</v>
      </c>
      <c r="Q46" s="103">
        <v>1660.45</v>
      </c>
      <c r="R46" s="103">
        <v>1200.8699999999999</v>
      </c>
    </row>
    <row r="47" spans="1:18">
      <c r="A47" s="137"/>
      <c r="B47" s="102" t="s">
        <v>5</v>
      </c>
      <c r="C47" s="102" t="s">
        <v>135</v>
      </c>
      <c r="D47" s="103">
        <v>429.75</v>
      </c>
      <c r="E47" s="103">
        <v>868</v>
      </c>
      <c r="F47" s="103">
        <v>469.67</v>
      </c>
      <c r="G47" s="103">
        <v>993.43</v>
      </c>
      <c r="H47" s="103">
        <v>624.52</v>
      </c>
      <c r="I47" s="103">
        <v>133.5</v>
      </c>
      <c r="K47" s="102" t="s">
        <v>5</v>
      </c>
      <c r="L47" s="102" t="s">
        <v>135</v>
      </c>
      <c r="M47" s="103">
        <v>102.65</v>
      </c>
      <c r="N47" s="103">
        <v>239</v>
      </c>
      <c r="O47" s="103">
        <v>85</v>
      </c>
      <c r="P47" s="103">
        <v>356.43</v>
      </c>
      <c r="Q47" s="103">
        <v>227.5</v>
      </c>
      <c r="R47" s="103">
        <v>133.5</v>
      </c>
    </row>
    <row r="48" spans="1:18">
      <c r="A48" s="137"/>
      <c r="B48" s="102" t="s">
        <v>6</v>
      </c>
      <c r="C48" s="102" t="s">
        <v>136</v>
      </c>
      <c r="D48" s="103">
        <v>124.5</v>
      </c>
      <c r="E48" s="103">
        <v>159.5</v>
      </c>
      <c r="F48" s="103">
        <v>325</v>
      </c>
      <c r="G48" s="103">
        <v>353.73</v>
      </c>
      <c r="H48" s="103">
        <v>380</v>
      </c>
      <c r="I48" s="103">
        <v>184.6</v>
      </c>
      <c r="K48" s="102" t="s">
        <v>6</v>
      </c>
      <c r="L48" s="102" t="s">
        <v>136</v>
      </c>
      <c r="M48" s="103">
        <v>10.5</v>
      </c>
      <c r="N48" s="103">
        <v>28</v>
      </c>
      <c r="O48" s="103">
        <v>4</v>
      </c>
      <c r="P48" s="103">
        <v>24</v>
      </c>
      <c r="Q48" s="103">
        <v>186.5</v>
      </c>
      <c r="R48" s="103">
        <v>184.6</v>
      </c>
    </row>
    <row r="49" spans="1:18">
      <c r="A49" s="137"/>
      <c r="B49" s="102" t="s">
        <v>7</v>
      </c>
      <c r="C49" s="102" t="s">
        <v>137</v>
      </c>
      <c r="D49" s="103">
        <v>204.22</v>
      </c>
      <c r="E49" s="103">
        <v>209.23000000000002</v>
      </c>
      <c r="F49" s="103">
        <v>793.9</v>
      </c>
      <c r="G49" s="103">
        <v>505.13</v>
      </c>
      <c r="H49" s="103">
        <v>578.09</v>
      </c>
      <c r="I49" s="103">
        <v>238.85</v>
      </c>
      <c r="K49" s="102" t="s">
        <v>7</v>
      </c>
      <c r="L49" s="102" t="s">
        <v>137</v>
      </c>
      <c r="M49" s="103">
        <v>129.1</v>
      </c>
      <c r="N49" s="103">
        <v>85.72</v>
      </c>
      <c r="O49" s="103">
        <v>201.73000000000002</v>
      </c>
      <c r="P49" s="103">
        <v>245.23</v>
      </c>
      <c r="Q49" s="103">
        <v>278.42</v>
      </c>
      <c r="R49" s="103">
        <v>238.85</v>
      </c>
    </row>
    <row r="50" spans="1:18">
      <c r="A50" s="137"/>
      <c r="B50" s="102" t="s">
        <v>8</v>
      </c>
      <c r="C50" s="102" t="s">
        <v>138</v>
      </c>
      <c r="D50" s="103">
        <v>1049.67</v>
      </c>
      <c r="E50" s="103">
        <v>829.77</v>
      </c>
      <c r="F50" s="103">
        <v>723.75</v>
      </c>
      <c r="G50" s="103">
        <v>345.75</v>
      </c>
      <c r="H50" s="103">
        <v>372</v>
      </c>
      <c r="I50" s="103">
        <v>59.75</v>
      </c>
      <c r="K50" s="102" t="s">
        <v>8</v>
      </c>
      <c r="L50" s="102" t="s">
        <v>138</v>
      </c>
      <c r="M50" s="103">
        <v>382.17</v>
      </c>
      <c r="N50" s="103">
        <v>428.27000000000004</v>
      </c>
      <c r="O50" s="103">
        <v>368</v>
      </c>
      <c r="P50" s="103">
        <v>62.75</v>
      </c>
      <c r="Q50" s="103">
        <v>65.25</v>
      </c>
      <c r="R50" s="103">
        <v>59.75</v>
      </c>
    </row>
    <row r="51" spans="1:18">
      <c r="A51" s="137"/>
      <c r="B51" s="102" t="s">
        <v>9</v>
      </c>
      <c r="C51" s="102" t="s">
        <v>139</v>
      </c>
      <c r="D51" s="103">
        <v>3</v>
      </c>
      <c r="E51" s="103">
        <v>0</v>
      </c>
      <c r="F51" s="103">
        <v>49.75</v>
      </c>
      <c r="G51" s="103">
        <v>97.5</v>
      </c>
      <c r="H51" s="103">
        <v>23.5</v>
      </c>
      <c r="I51" s="103">
        <v>0</v>
      </c>
      <c r="K51" s="102" t="s">
        <v>9</v>
      </c>
      <c r="L51" s="102" t="s">
        <v>139</v>
      </c>
      <c r="M51" s="103">
        <v>0</v>
      </c>
      <c r="N51" s="103">
        <v>0</v>
      </c>
      <c r="O51" s="103">
        <v>0</v>
      </c>
      <c r="P51" s="103">
        <v>71</v>
      </c>
      <c r="Q51" s="103">
        <v>16.5</v>
      </c>
      <c r="R51" s="103">
        <v>0</v>
      </c>
    </row>
    <row r="52" spans="1:18">
      <c r="A52" s="137"/>
      <c r="B52" s="102" t="s">
        <v>10</v>
      </c>
      <c r="C52" s="102" t="s">
        <v>140</v>
      </c>
      <c r="D52" s="103">
        <v>1803.3</v>
      </c>
      <c r="E52" s="103">
        <v>1623.83</v>
      </c>
      <c r="F52" s="103">
        <v>341.25</v>
      </c>
      <c r="G52" s="103">
        <v>205.79</v>
      </c>
      <c r="H52" s="103">
        <v>432.75</v>
      </c>
      <c r="I52" s="103">
        <v>29</v>
      </c>
      <c r="K52" s="102" t="s">
        <v>10</v>
      </c>
      <c r="L52" s="102" t="s">
        <v>140</v>
      </c>
      <c r="M52" s="103">
        <v>906</v>
      </c>
      <c r="N52" s="103">
        <v>915.32999999999993</v>
      </c>
      <c r="O52" s="103">
        <v>102</v>
      </c>
      <c r="P52" s="103">
        <v>114.37</v>
      </c>
      <c r="Q52" s="103">
        <v>237.5</v>
      </c>
      <c r="R52" s="103">
        <v>29</v>
      </c>
    </row>
    <row r="53" spans="1:18">
      <c r="A53" s="137"/>
      <c r="B53" s="102" t="s">
        <v>11</v>
      </c>
      <c r="C53" s="102" t="s">
        <v>141</v>
      </c>
      <c r="D53" s="103">
        <v>68.7</v>
      </c>
      <c r="E53" s="103">
        <v>237</v>
      </c>
      <c r="F53" s="103">
        <v>326.88</v>
      </c>
      <c r="G53" s="103">
        <v>465.85</v>
      </c>
      <c r="H53" s="103">
        <v>256.5</v>
      </c>
      <c r="I53" s="103">
        <v>71.5</v>
      </c>
      <c r="K53" s="102" t="s">
        <v>11</v>
      </c>
      <c r="L53" s="102" t="s">
        <v>141</v>
      </c>
      <c r="M53" s="103">
        <v>11.9</v>
      </c>
      <c r="N53" s="103">
        <v>55</v>
      </c>
      <c r="O53" s="103">
        <v>188.23</v>
      </c>
      <c r="P53" s="103">
        <v>63.6</v>
      </c>
      <c r="Q53" s="103">
        <v>53.5</v>
      </c>
      <c r="R53" s="103">
        <v>71.5</v>
      </c>
    </row>
    <row r="54" spans="1:18">
      <c r="A54" s="137"/>
      <c r="B54" s="102" t="s">
        <v>12</v>
      </c>
      <c r="C54" s="102" t="s">
        <v>142</v>
      </c>
      <c r="D54" s="103">
        <v>631.41</v>
      </c>
      <c r="E54" s="103">
        <v>1241.6599999999999</v>
      </c>
      <c r="F54" s="103">
        <v>2865.75</v>
      </c>
      <c r="G54" s="103">
        <v>1393.3</v>
      </c>
      <c r="H54" s="103">
        <v>1815.95</v>
      </c>
      <c r="I54" s="103">
        <v>307.25</v>
      </c>
      <c r="K54" s="102" t="s">
        <v>12</v>
      </c>
      <c r="L54" s="102" t="s">
        <v>142</v>
      </c>
      <c r="M54" s="103">
        <v>171</v>
      </c>
      <c r="N54" s="103">
        <v>270.83000000000004</v>
      </c>
      <c r="O54" s="103">
        <v>646.75</v>
      </c>
      <c r="P54" s="103">
        <v>420.25</v>
      </c>
      <c r="Q54" s="103">
        <v>322.25</v>
      </c>
      <c r="R54" s="103">
        <v>307.25</v>
      </c>
    </row>
    <row r="55" spans="1:18">
      <c r="A55" s="137"/>
      <c r="B55" s="102" t="s">
        <v>13</v>
      </c>
      <c r="C55" s="102" t="s">
        <v>143</v>
      </c>
      <c r="D55" s="103">
        <v>1270.75</v>
      </c>
      <c r="E55" s="103">
        <v>469.65</v>
      </c>
      <c r="F55" s="103">
        <v>611.84999999999991</v>
      </c>
      <c r="G55" s="103">
        <v>386.4</v>
      </c>
      <c r="H55" s="103">
        <v>183.75</v>
      </c>
      <c r="I55" s="103">
        <v>84.5</v>
      </c>
      <c r="K55" s="102" t="s">
        <v>13</v>
      </c>
      <c r="L55" s="102" t="s">
        <v>143</v>
      </c>
      <c r="M55" s="103">
        <v>75.75</v>
      </c>
      <c r="N55" s="103">
        <v>247.5</v>
      </c>
      <c r="O55" s="103">
        <v>356.15</v>
      </c>
      <c r="P55" s="103">
        <v>241.39999999999998</v>
      </c>
      <c r="Q55" s="103">
        <v>100.25</v>
      </c>
      <c r="R55" s="103">
        <v>84.5</v>
      </c>
    </row>
    <row r="56" spans="1:18">
      <c r="A56" s="137"/>
      <c r="B56" s="102" t="s">
        <v>14</v>
      </c>
      <c r="C56" s="102" t="s">
        <v>144</v>
      </c>
      <c r="D56" s="103">
        <v>4</v>
      </c>
      <c r="E56" s="103">
        <v>175.5</v>
      </c>
      <c r="F56" s="103">
        <v>527.20000000000005</v>
      </c>
      <c r="G56" s="103">
        <v>220.5</v>
      </c>
      <c r="H56" s="103">
        <v>163.5</v>
      </c>
      <c r="I56" s="103">
        <v>30.5</v>
      </c>
      <c r="K56" s="102" t="s">
        <v>14</v>
      </c>
      <c r="L56" s="102" t="s">
        <v>144</v>
      </c>
      <c r="M56" s="103">
        <v>4</v>
      </c>
      <c r="N56" s="103">
        <v>0</v>
      </c>
      <c r="O56" s="103">
        <v>387.2</v>
      </c>
      <c r="P56" s="103">
        <v>110.5</v>
      </c>
      <c r="Q56" s="103">
        <v>105.5</v>
      </c>
      <c r="R56" s="103">
        <v>30.5</v>
      </c>
    </row>
    <row r="57" spans="1:18">
      <c r="A57" s="137"/>
      <c r="B57" s="102" t="s">
        <v>15</v>
      </c>
      <c r="C57" s="102" t="s">
        <v>145</v>
      </c>
      <c r="D57" s="103">
        <v>2.5</v>
      </c>
      <c r="E57" s="103">
        <v>8.25</v>
      </c>
      <c r="F57" s="103">
        <v>31</v>
      </c>
      <c r="G57" s="103">
        <v>15</v>
      </c>
      <c r="H57" s="103">
        <v>15.17</v>
      </c>
      <c r="I57" s="103">
        <v>13</v>
      </c>
      <c r="K57" s="102" t="s">
        <v>15</v>
      </c>
      <c r="L57" s="102" t="s">
        <v>145</v>
      </c>
      <c r="M57" s="103">
        <v>0</v>
      </c>
      <c r="N57" s="103">
        <v>2.25</v>
      </c>
      <c r="O57" s="103">
        <v>10</v>
      </c>
      <c r="P57" s="103">
        <v>5</v>
      </c>
      <c r="Q57" s="103">
        <v>10.17</v>
      </c>
      <c r="R57" s="103">
        <v>13</v>
      </c>
    </row>
    <row r="58" spans="1:18">
      <c r="A58" s="137"/>
      <c r="B58" s="102"/>
      <c r="C58" s="104"/>
      <c r="D58" s="105">
        <v>10672.45</v>
      </c>
      <c r="E58" s="105">
        <v>12599.23</v>
      </c>
      <c r="F58" s="105">
        <v>13428.630000000001</v>
      </c>
      <c r="G58" s="105">
        <v>10627.88</v>
      </c>
      <c r="H58" s="105">
        <v>10514.170000000002</v>
      </c>
      <c r="I58" s="105">
        <v>2911.3399999999997</v>
      </c>
      <c r="K58" s="102"/>
      <c r="L58" s="104"/>
      <c r="M58" s="105">
        <v>3926.7400000000002</v>
      </c>
      <c r="N58" s="105">
        <v>5615.0199999999995</v>
      </c>
      <c r="O58" s="105">
        <v>5509.7099999999991</v>
      </c>
      <c r="P58" s="105">
        <v>4437.28</v>
      </c>
      <c r="Q58" s="105">
        <v>3810.88</v>
      </c>
      <c r="R58" s="105">
        <v>2911.3399999999997</v>
      </c>
    </row>
    <row r="61" spans="1:18" ht="15" customHeight="1">
      <c r="A61" s="175" t="s">
        <v>56</v>
      </c>
      <c r="B61" s="92" t="s">
        <v>146</v>
      </c>
      <c r="C61" s="92" t="s">
        <v>147</v>
      </c>
      <c r="D61" s="92">
        <v>2021</v>
      </c>
      <c r="E61" s="92">
        <v>2022</v>
      </c>
      <c r="F61" s="92">
        <v>2023</v>
      </c>
      <c r="G61" s="92">
        <v>2024</v>
      </c>
      <c r="H61" s="92">
        <v>2025</v>
      </c>
      <c r="I61" s="92">
        <v>2026</v>
      </c>
      <c r="K61" s="92" t="s">
        <v>146</v>
      </c>
      <c r="L61" s="92" t="s">
        <v>147</v>
      </c>
      <c r="M61" s="92">
        <v>2021</v>
      </c>
      <c r="N61" s="92">
        <v>2022</v>
      </c>
      <c r="O61" s="92">
        <v>2023</v>
      </c>
      <c r="P61" s="92">
        <v>2024</v>
      </c>
      <c r="Q61" s="92">
        <v>2025</v>
      </c>
      <c r="R61" s="92">
        <v>2026</v>
      </c>
    </row>
    <row r="62" spans="1:18" ht="15" customHeight="1">
      <c r="A62" s="175"/>
      <c r="B62" s="93" t="s">
        <v>0</v>
      </c>
      <c r="C62" s="93" t="s">
        <v>131</v>
      </c>
      <c r="D62" s="94">
        <v>57.5</v>
      </c>
      <c r="E62" s="94">
        <v>14</v>
      </c>
      <c r="F62" s="94">
        <v>57</v>
      </c>
      <c r="G62" s="94">
        <v>80.75</v>
      </c>
      <c r="H62" s="94">
        <v>48</v>
      </c>
      <c r="I62" s="94">
        <v>0</v>
      </c>
      <c r="K62" s="93" t="s">
        <v>0</v>
      </c>
      <c r="L62" s="93" t="s">
        <v>131</v>
      </c>
      <c r="M62" s="94">
        <v>10</v>
      </c>
      <c r="N62" s="94">
        <v>14</v>
      </c>
      <c r="O62" s="94">
        <v>53.25</v>
      </c>
      <c r="P62" s="94">
        <v>5.5</v>
      </c>
      <c r="Q62" s="94">
        <v>41</v>
      </c>
      <c r="R62" s="94">
        <v>0</v>
      </c>
    </row>
    <row r="63" spans="1:18">
      <c r="A63" s="144"/>
      <c r="B63" s="93" t="s">
        <v>1</v>
      </c>
      <c r="C63" s="93" t="s">
        <v>130</v>
      </c>
      <c r="D63" s="94">
        <v>490</v>
      </c>
      <c r="E63" s="94">
        <v>704.8</v>
      </c>
      <c r="F63" s="94">
        <v>999</v>
      </c>
      <c r="G63" s="94">
        <v>1134.75</v>
      </c>
      <c r="H63" s="94">
        <v>1453</v>
      </c>
      <c r="I63" s="94">
        <v>597</v>
      </c>
      <c r="K63" s="93" t="s">
        <v>1</v>
      </c>
      <c r="L63" s="93" t="s">
        <v>130</v>
      </c>
      <c r="M63" s="94">
        <v>148.5</v>
      </c>
      <c r="N63" s="94">
        <v>445.5</v>
      </c>
      <c r="O63" s="94">
        <v>276.5</v>
      </c>
      <c r="P63" s="94">
        <v>289.75</v>
      </c>
      <c r="Q63" s="94">
        <v>618.5</v>
      </c>
      <c r="R63" s="94">
        <v>597</v>
      </c>
    </row>
    <row r="64" spans="1:18">
      <c r="A64" s="145"/>
      <c r="B64" s="93" t="s">
        <v>2</v>
      </c>
      <c r="C64" s="93" t="s">
        <v>132</v>
      </c>
      <c r="D64" s="94">
        <v>290.91999999999996</v>
      </c>
      <c r="E64" s="94">
        <v>258</v>
      </c>
      <c r="F64" s="94">
        <v>214</v>
      </c>
      <c r="G64" s="94">
        <v>345</v>
      </c>
      <c r="H64" s="94">
        <v>386</v>
      </c>
      <c r="I64" s="94">
        <v>319.5</v>
      </c>
      <c r="K64" s="93" t="s">
        <v>2</v>
      </c>
      <c r="L64" s="93" t="s">
        <v>132</v>
      </c>
      <c r="M64" s="94">
        <v>177.92000000000002</v>
      </c>
      <c r="N64" s="94">
        <v>90</v>
      </c>
      <c r="O64" s="94">
        <v>107</v>
      </c>
      <c r="P64" s="94">
        <v>152</v>
      </c>
      <c r="Q64" s="94">
        <v>183</v>
      </c>
      <c r="R64" s="94">
        <v>319.5</v>
      </c>
    </row>
    <row r="65" spans="1:18">
      <c r="A65" s="145"/>
      <c r="B65" s="93" t="s">
        <v>3</v>
      </c>
      <c r="C65" s="93" t="s">
        <v>133</v>
      </c>
      <c r="D65" s="94">
        <v>1394.55</v>
      </c>
      <c r="E65" s="94">
        <v>855.67000000000007</v>
      </c>
      <c r="F65" s="94">
        <v>557.51</v>
      </c>
      <c r="G65" s="94">
        <v>1109.6599999999999</v>
      </c>
      <c r="H65" s="94">
        <v>753.62</v>
      </c>
      <c r="I65" s="94">
        <v>230.5</v>
      </c>
      <c r="K65" s="93" t="s">
        <v>3</v>
      </c>
      <c r="L65" s="93" t="s">
        <v>133</v>
      </c>
      <c r="M65" s="94">
        <v>871.41</v>
      </c>
      <c r="N65" s="94">
        <v>506.67</v>
      </c>
      <c r="O65" s="94">
        <v>288.99</v>
      </c>
      <c r="P65" s="94">
        <v>571.66</v>
      </c>
      <c r="Q65" s="94">
        <v>563.72</v>
      </c>
      <c r="R65" s="94">
        <v>230.5</v>
      </c>
    </row>
    <row r="66" spans="1:18">
      <c r="A66" s="144"/>
      <c r="B66" s="93" t="s">
        <v>4</v>
      </c>
      <c r="C66" s="93" t="s">
        <v>134</v>
      </c>
      <c r="D66" s="94">
        <v>2661.25</v>
      </c>
      <c r="E66" s="94">
        <v>2629.5</v>
      </c>
      <c r="F66" s="94">
        <v>2362.5</v>
      </c>
      <c r="G66" s="94">
        <v>3240.41</v>
      </c>
      <c r="H66" s="94">
        <v>3987.12</v>
      </c>
      <c r="I66" s="94">
        <v>895</v>
      </c>
      <c r="K66" s="93" t="s">
        <v>4</v>
      </c>
      <c r="L66" s="93" t="s">
        <v>134</v>
      </c>
      <c r="M66" s="94">
        <v>1566.75</v>
      </c>
      <c r="N66" s="94">
        <v>1337.5</v>
      </c>
      <c r="O66" s="94">
        <v>1559.5</v>
      </c>
      <c r="P66" s="94">
        <v>1124.4099999999999</v>
      </c>
      <c r="Q66" s="94">
        <v>1579.5</v>
      </c>
      <c r="R66" s="94">
        <v>895</v>
      </c>
    </row>
    <row r="67" spans="1:18">
      <c r="A67" s="144"/>
      <c r="B67" s="93" t="s">
        <v>5</v>
      </c>
      <c r="C67" s="93" t="s">
        <v>135</v>
      </c>
      <c r="D67" s="94">
        <v>494.42</v>
      </c>
      <c r="E67" s="94">
        <v>817.5</v>
      </c>
      <c r="F67" s="94">
        <v>1</v>
      </c>
      <c r="G67" s="94">
        <v>327.25</v>
      </c>
      <c r="H67" s="94">
        <v>40.75</v>
      </c>
      <c r="I67" s="94">
        <v>87.25</v>
      </c>
      <c r="K67" s="93" t="s">
        <v>5</v>
      </c>
      <c r="L67" s="93" t="s">
        <v>135</v>
      </c>
      <c r="M67" s="94">
        <v>298.67</v>
      </c>
      <c r="N67" s="94">
        <v>807.5</v>
      </c>
      <c r="O67" s="94">
        <v>1</v>
      </c>
      <c r="P67" s="94">
        <v>145.75</v>
      </c>
      <c r="Q67" s="94">
        <v>16.75</v>
      </c>
      <c r="R67" s="94">
        <v>87.25</v>
      </c>
    </row>
    <row r="68" spans="1:18">
      <c r="A68" s="144"/>
      <c r="B68" s="93" t="s">
        <v>6</v>
      </c>
      <c r="C68" s="93" t="s">
        <v>136</v>
      </c>
      <c r="D68" s="94">
        <v>0</v>
      </c>
      <c r="E68" s="94">
        <v>0</v>
      </c>
      <c r="F68" s="94">
        <v>0</v>
      </c>
      <c r="G68" s="94">
        <v>0</v>
      </c>
      <c r="H68" s="94">
        <v>4.5</v>
      </c>
      <c r="I68" s="94">
        <v>12</v>
      </c>
      <c r="K68" s="93" t="s">
        <v>6</v>
      </c>
      <c r="L68" s="93" t="s">
        <v>136</v>
      </c>
      <c r="M68" s="94">
        <v>0</v>
      </c>
      <c r="N68" s="94">
        <v>0</v>
      </c>
      <c r="O68" s="94">
        <v>0</v>
      </c>
      <c r="P68" s="94">
        <v>0</v>
      </c>
      <c r="Q68" s="94">
        <v>1.5</v>
      </c>
      <c r="R68" s="94">
        <v>12</v>
      </c>
    </row>
    <row r="69" spans="1:18">
      <c r="A69" s="144"/>
      <c r="B69" s="93" t="s">
        <v>7</v>
      </c>
      <c r="C69" s="93" t="s">
        <v>137</v>
      </c>
      <c r="D69" s="94">
        <v>0</v>
      </c>
      <c r="E69" s="94">
        <v>80</v>
      </c>
      <c r="F69" s="94">
        <v>66</v>
      </c>
      <c r="G69" s="94">
        <v>53.5</v>
      </c>
      <c r="H69" s="94">
        <v>10.75</v>
      </c>
      <c r="I69" s="94">
        <v>25.5</v>
      </c>
      <c r="K69" s="93" t="s">
        <v>7</v>
      </c>
      <c r="L69" s="93" t="s">
        <v>137</v>
      </c>
      <c r="M69" s="94">
        <v>0</v>
      </c>
      <c r="N69" s="94">
        <v>80</v>
      </c>
      <c r="O69" s="94">
        <v>44</v>
      </c>
      <c r="P69" s="94">
        <v>24</v>
      </c>
      <c r="Q69" s="94">
        <v>5.25</v>
      </c>
      <c r="R69" s="94">
        <v>25.5</v>
      </c>
    </row>
    <row r="70" spans="1:18">
      <c r="A70" s="144"/>
      <c r="B70" s="93" t="s">
        <v>8</v>
      </c>
      <c r="C70" s="93" t="s">
        <v>138</v>
      </c>
      <c r="D70" s="94">
        <v>192</v>
      </c>
      <c r="E70" s="94">
        <v>124</v>
      </c>
      <c r="F70" s="94">
        <v>42</v>
      </c>
      <c r="G70" s="94">
        <v>8</v>
      </c>
      <c r="H70" s="94">
        <v>796</v>
      </c>
      <c r="I70" s="94">
        <v>552</v>
      </c>
      <c r="K70" s="93" t="s">
        <v>8</v>
      </c>
      <c r="L70" s="93" t="s">
        <v>138</v>
      </c>
      <c r="M70" s="94">
        <v>85</v>
      </c>
      <c r="N70" s="94">
        <v>106.5</v>
      </c>
      <c r="O70" s="94">
        <v>22</v>
      </c>
      <c r="P70" s="94">
        <v>0</v>
      </c>
      <c r="Q70" s="94">
        <v>147.5</v>
      </c>
      <c r="R70" s="94">
        <v>552</v>
      </c>
    </row>
    <row r="71" spans="1:18">
      <c r="A71" s="144"/>
      <c r="B71" s="93" t="s">
        <v>9</v>
      </c>
      <c r="C71" s="93" t="s">
        <v>139</v>
      </c>
      <c r="D71" s="94">
        <v>0</v>
      </c>
      <c r="E71" s="94">
        <v>0</v>
      </c>
      <c r="F71" s="94">
        <v>0</v>
      </c>
      <c r="G71" s="94">
        <v>0</v>
      </c>
      <c r="H71" s="94">
        <v>64</v>
      </c>
      <c r="I71" s="94">
        <v>0</v>
      </c>
      <c r="K71" s="93" t="s">
        <v>9</v>
      </c>
      <c r="L71" s="93" t="s">
        <v>139</v>
      </c>
      <c r="M71" s="94">
        <v>0</v>
      </c>
      <c r="N71" s="94">
        <v>0</v>
      </c>
      <c r="O71" s="94">
        <v>0</v>
      </c>
      <c r="P71" s="94">
        <v>0</v>
      </c>
      <c r="Q71" s="94">
        <v>58</v>
      </c>
      <c r="R71" s="94">
        <v>0</v>
      </c>
    </row>
    <row r="72" spans="1:18">
      <c r="A72" s="144"/>
      <c r="B72" s="93" t="s">
        <v>10</v>
      </c>
      <c r="C72" s="93" t="s">
        <v>140</v>
      </c>
      <c r="D72" s="94">
        <v>122</v>
      </c>
      <c r="E72" s="94">
        <v>23</v>
      </c>
      <c r="F72" s="94">
        <v>14.55</v>
      </c>
      <c r="G72" s="94">
        <v>66.8</v>
      </c>
      <c r="H72" s="94">
        <v>412.05</v>
      </c>
      <c r="I72" s="94">
        <v>99.75</v>
      </c>
      <c r="K72" s="93" t="s">
        <v>10</v>
      </c>
      <c r="L72" s="93" t="s">
        <v>140</v>
      </c>
      <c r="M72" s="94">
        <v>31</v>
      </c>
      <c r="N72" s="94">
        <v>13</v>
      </c>
      <c r="O72" s="94">
        <v>14.55</v>
      </c>
      <c r="P72" s="94">
        <v>14</v>
      </c>
      <c r="Q72" s="94">
        <v>247</v>
      </c>
      <c r="R72" s="94">
        <v>99.75</v>
      </c>
    </row>
    <row r="73" spans="1:18">
      <c r="A73" s="144"/>
      <c r="B73" s="93" t="s">
        <v>11</v>
      </c>
      <c r="C73" s="93" t="s">
        <v>141</v>
      </c>
      <c r="D73" s="94">
        <v>759.06000000000006</v>
      </c>
      <c r="E73" s="94">
        <v>553.1</v>
      </c>
      <c r="F73" s="94">
        <v>855.86</v>
      </c>
      <c r="G73" s="94">
        <v>1697.9</v>
      </c>
      <c r="H73" s="94">
        <v>3350.95</v>
      </c>
      <c r="I73" s="94">
        <v>1328.5</v>
      </c>
      <c r="K73" s="93" t="s">
        <v>11</v>
      </c>
      <c r="L73" s="93" t="s">
        <v>141</v>
      </c>
      <c r="M73" s="94">
        <v>9.6</v>
      </c>
      <c r="N73" s="94">
        <v>195.7</v>
      </c>
      <c r="O73" s="94">
        <v>476.96</v>
      </c>
      <c r="P73" s="94">
        <v>533.4</v>
      </c>
      <c r="Q73" s="94">
        <v>1913.75</v>
      </c>
      <c r="R73" s="94">
        <v>1328.5</v>
      </c>
    </row>
    <row r="74" spans="1:18">
      <c r="A74" s="144"/>
      <c r="B74" s="93" t="s">
        <v>12</v>
      </c>
      <c r="C74" s="93" t="s">
        <v>142</v>
      </c>
      <c r="D74" s="94">
        <v>110</v>
      </c>
      <c r="E74" s="94">
        <v>220.25</v>
      </c>
      <c r="F74" s="94">
        <v>586</v>
      </c>
      <c r="G74" s="94">
        <v>819</v>
      </c>
      <c r="H74" s="94">
        <v>867.25</v>
      </c>
      <c r="I74" s="94">
        <v>367.75</v>
      </c>
      <c r="K74" s="93" t="s">
        <v>12</v>
      </c>
      <c r="L74" s="93" t="s">
        <v>142</v>
      </c>
      <c r="M74" s="94">
        <v>35</v>
      </c>
      <c r="N74" s="94">
        <v>108.5</v>
      </c>
      <c r="O74" s="94">
        <v>455</v>
      </c>
      <c r="P74" s="94">
        <v>383.25</v>
      </c>
      <c r="Q74" s="94">
        <v>308.25</v>
      </c>
      <c r="R74" s="94">
        <v>367.75</v>
      </c>
    </row>
    <row r="75" spans="1:18">
      <c r="A75" s="144"/>
      <c r="B75" s="93" t="s">
        <v>13</v>
      </c>
      <c r="C75" s="93" t="s">
        <v>143</v>
      </c>
      <c r="D75" s="94">
        <v>231</v>
      </c>
      <c r="E75" s="94">
        <v>0</v>
      </c>
      <c r="F75" s="94">
        <v>0</v>
      </c>
      <c r="G75" s="94">
        <v>6</v>
      </c>
      <c r="H75" s="94">
        <v>0</v>
      </c>
      <c r="I75" s="94">
        <v>0</v>
      </c>
      <c r="K75" s="93" t="s">
        <v>13</v>
      </c>
      <c r="L75" s="93" t="s">
        <v>143</v>
      </c>
      <c r="M75" s="94">
        <v>136</v>
      </c>
      <c r="N75" s="94">
        <v>0</v>
      </c>
      <c r="O75" s="94">
        <v>0</v>
      </c>
      <c r="P75" s="94">
        <v>0</v>
      </c>
      <c r="Q75" s="94">
        <v>0</v>
      </c>
      <c r="R75" s="94">
        <v>0</v>
      </c>
    </row>
    <row r="76" spans="1:18">
      <c r="A76" s="144"/>
      <c r="B76" s="93" t="s">
        <v>14</v>
      </c>
      <c r="C76" s="93" t="s">
        <v>144</v>
      </c>
      <c r="D76" s="94">
        <v>96.5</v>
      </c>
      <c r="E76" s="94">
        <v>178</v>
      </c>
      <c r="F76" s="94">
        <v>87.5</v>
      </c>
      <c r="G76" s="94">
        <v>54.5</v>
      </c>
      <c r="H76" s="94">
        <v>22.5</v>
      </c>
      <c r="I76" s="94">
        <v>78.5</v>
      </c>
      <c r="K76" s="93" t="s">
        <v>14</v>
      </c>
      <c r="L76" s="93" t="s">
        <v>144</v>
      </c>
      <c r="M76" s="94">
        <v>41</v>
      </c>
      <c r="N76" s="94">
        <v>138</v>
      </c>
      <c r="O76" s="94">
        <v>40</v>
      </c>
      <c r="P76" s="94">
        <v>38.5</v>
      </c>
      <c r="Q76" s="94">
        <v>22.5</v>
      </c>
      <c r="R76" s="94">
        <v>78.5</v>
      </c>
    </row>
    <row r="77" spans="1:18">
      <c r="A77" s="144"/>
      <c r="B77" s="93" t="s">
        <v>15</v>
      </c>
      <c r="C77" s="93" t="s">
        <v>145</v>
      </c>
      <c r="D77" s="94">
        <v>0</v>
      </c>
      <c r="E77" s="94">
        <v>8.5</v>
      </c>
      <c r="F77" s="94">
        <v>91.5</v>
      </c>
      <c r="G77" s="94">
        <v>213</v>
      </c>
      <c r="H77" s="94">
        <v>234.1</v>
      </c>
      <c r="I77" s="94">
        <v>33.25</v>
      </c>
      <c r="K77" s="93" t="s">
        <v>15</v>
      </c>
      <c r="L77" s="93" t="s">
        <v>145</v>
      </c>
      <c r="M77" s="94">
        <v>0</v>
      </c>
      <c r="N77" s="94">
        <v>8.5</v>
      </c>
      <c r="O77" s="94">
        <v>19</v>
      </c>
      <c r="P77" s="94">
        <v>68.5</v>
      </c>
      <c r="Q77" s="94">
        <v>179.6</v>
      </c>
      <c r="R77" s="94">
        <v>33.25</v>
      </c>
    </row>
    <row r="78" spans="1:18">
      <c r="A78" s="144"/>
      <c r="B78" s="93"/>
      <c r="C78" s="95"/>
      <c r="D78" s="77">
        <v>6899.2</v>
      </c>
      <c r="E78" s="77">
        <v>6466.3200000000006</v>
      </c>
      <c r="F78" s="77">
        <v>5934.42</v>
      </c>
      <c r="G78" s="77">
        <v>9156.52</v>
      </c>
      <c r="H78" s="77">
        <v>12430.59</v>
      </c>
      <c r="I78" s="77">
        <v>4626.5</v>
      </c>
      <c r="K78" s="93"/>
      <c r="L78" s="95"/>
      <c r="M78" s="77">
        <v>3410.85</v>
      </c>
      <c r="N78" s="77">
        <v>3851.37</v>
      </c>
      <c r="O78" s="77">
        <v>3357.75</v>
      </c>
      <c r="P78" s="77">
        <v>3350.72</v>
      </c>
      <c r="Q78" s="77">
        <v>5885.8200000000006</v>
      </c>
      <c r="R78" s="77">
        <v>4626.5</v>
      </c>
    </row>
  </sheetData>
  <mergeCells count="3">
    <mergeCell ref="A1:A2"/>
    <mergeCell ref="A21:A22"/>
    <mergeCell ref="A61:A62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R58"/>
  <sheetViews>
    <sheetView topLeftCell="A37" zoomScale="90" zoomScaleNormal="90" workbookViewId="0">
      <selection sqref="A1:A2"/>
    </sheetView>
  </sheetViews>
  <sheetFormatPr defaultColWidth="8.77734375" defaultRowHeight="14.4"/>
  <cols>
    <col min="1" max="1" width="28.44140625" customWidth="1"/>
    <col min="3" max="3" width="25.33203125" customWidth="1"/>
    <col min="10" max="10" width="3.6640625" customWidth="1"/>
    <col min="12" max="12" width="25.33203125" customWidth="1"/>
  </cols>
  <sheetData>
    <row r="1" spans="1:9">
      <c r="A1" s="176" t="s">
        <v>73</v>
      </c>
      <c r="B1" s="79" t="s">
        <v>146</v>
      </c>
      <c r="C1" s="79" t="s">
        <v>147</v>
      </c>
      <c r="D1" s="79">
        <v>2021</v>
      </c>
      <c r="E1" s="79">
        <v>2022</v>
      </c>
      <c r="F1" s="79">
        <v>2023</v>
      </c>
      <c r="G1" s="79">
        <v>2024</v>
      </c>
      <c r="H1" s="79">
        <v>2025</v>
      </c>
      <c r="I1" s="79">
        <v>2026</v>
      </c>
    </row>
    <row r="2" spans="1:9">
      <c r="A2" s="176"/>
      <c r="B2" s="80" t="s">
        <v>0</v>
      </c>
      <c r="C2" s="80" t="s">
        <v>131</v>
      </c>
      <c r="D2" s="81">
        <v>1958</v>
      </c>
      <c r="E2" s="81">
        <v>1894</v>
      </c>
      <c r="F2" s="81">
        <v>1869</v>
      </c>
      <c r="G2" s="81">
        <v>1832</v>
      </c>
      <c r="H2" s="81">
        <v>1767</v>
      </c>
      <c r="I2" s="81">
        <v>1697</v>
      </c>
    </row>
    <row r="3" spans="1:9">
      <c r="A3" s="137"/>
      <c r="B3" s="80" t="s">
        <v>1</v>
      </c>
      <c r="C3" s="80" t="s">
        <v>130</v>
      </c>
      <c r="D3" s="81">
        <v>2712</v>
      </c>
      <c r="E3" s="81">
        <v>2624</v>
      </c>
      <c r="F3" s="81">
        <v>2617</v>
      </c>
      <c r="G3" s="81">
        <v>2640</v>
      </c>
      <c r="H3" s="81">
        <v>2579</v>
      </c>
      <c r="I3" s="81">
        <v>2467</v>
      </c>
    </row>
    <row r="4" spans="1:9">
      <c r="A4" s="138" t="s">
        <v>101</v>
      </c>
      <c r="B4" s="80" t="s">
        <v>2</v>
      </c>
      <c r="C4" s="80" t="s">
        <v>132</v>
      </c>
      <c r="D4" s="81">
        <v>1684</v>
      </c>
      <c r="E4" s="81">
        <v>1591</v>
      </c>
      <c r="F4" s="81">
        <v>1485</v>
      </c>
      <c r="G4" s="81">
        <v>1414</v>
      </c>
      <c r="H4" s="81">
        <v>1330</v>
      </c>
      <c r="I4" s="81">
        <v>1249</v>
      </c>
    </row>
    <row r="5" spans="1:9">
      <c r="A5" s="138" t="s">
        <v>102</v>
      </c>
      <c r="B5" s="80" t="s">
        <v>3</v>
      </c>
      <c r="C5" s="80" t="s">
        <v>133</v>
      </c>
      <c r="D5" s="81">
        <v>2175</v>
      </c>
      <c r="E5" s="81">
        <v>2099</v>
      </c>
      <c r="F5" s="81">
        <v>2064</v>
      </c>
      <c r="G5" s="81">
        <v>2106</v>
      </c>
      <c r="H5" s="81">
        <v>2029</v>
      </c>
      <c r="I5" s="81">
        <v>1917</v>
      </c>
    </row>
    <row r="6" spans="1:9">
      <c r="A6" s="137"/>
      <c r="B6" s="80" t="s">
        <v>4</v>
      </c>
      <c r="C6" s="80" t="s">
        <v>134</v>
      </c>
      <c r="D6" s="81">
        <v>4204</v>
      </c>
      <c r="E6" s="81">
        <v>4101</v>
      </c>
      <c r="F6" s="81">
        <v>4019</v>
      </c>
      <c r="G6" s="81">
        <v>3893</v>
      </c>
      <c r="H6" s="81">
        <v>3725</v>
      </c>
      <c r="I6" s="81">
        <v>3565</v>
      </c>
    </row>
    <row r="7" spans="1:9">
      <c r="A7" s="137"/>
      <c r="B7" s="80" t="s">
        <v>5</v>
      </c>
      <c r="C7" s="80" t="s">
        <v>135</v>
      </c>
      <c r="D7" s="81">
        <v>1285</v>
      </c>
      <c r="E7" s="81">
        <v>1235</v>
      </c>
      <c r="F7" s="81">
        <v>1169</v>
      </c>
      <c r="G7" s="81">
        <v>1204</v>
      </c>
      <c r="H7" s="81">
        <v>1139</v>
      </c>
      <c r="I7" s="81">
        <v>1120</v>
      </c>
    </row>
    <row r="8" spans="1:9">
      <c r="A8" s="137"/>
      <c r="B8" s="80" t="s">
        <v>6</v>
      </c>
      <c r="C8" s="80" t="s">
        <v>136</v>
      </c>
      <c r="D8" s="81">
        <v>944</v>
      </c>
      <c r="E8" s="81">
        <v>924</v>
      </c>
      <c r="F8" s="81">
        <v>944</v>
      </c>
      <c r="G8" s="81">
        <v>935</v>
      </c>
      <c r="H8" s="81">
        <v>908</v>
      </c>
      <c r="I8" s="81">
        <v>853</v>
      </c>
    </row>
    <row r="9" spans="1:9">
      <c r="A9" s="137"/>
      <c r="B9" s="80" t="s">
        <v>7</v>
      </c>
      <c r="C9" s="80" t="s">
        <v>137</v>
      </c>
      <c r="D9" s="81">
        <v>914</v>
      </c>
      <c r="E9" s="81">
        <v>812</v>
      </c>
      <c r="F9" s="81">
        <v>858</v>
      </c>
      <c r="G9" s="81">
        <v>796</v>
      </c>
      <c r="H9" s="81">
        <v>784</v>
      </c>
      <c r="I9" s="81">
        <v>778</v>
      </c>
    </row>
    <row r="10" spans="1:9">
      <c r="A10" s="137"/>
      <c r="B10" s="80" t="s">
        <v>8</v>
      </c>
      <c r="C10" s="80" t="s">
        <v>138</v>
      </c>
      <c r="D10" s="81">
        <v>793</v>
      </c>
      <c r="E10" s="81">
        <v>759</v>
      </c>
      <c r="F10" s="81">
        <v>707</v>
      </c>
      <c r="G10" s="81">
        <v>690</v>
      </c>
      <c r="H10" s="81">
        <v>673</v>
      </c>
      <c r="I10" s="81">
        <v>675</v>
      </c>
    </row>
    <row r="11" spans="1:9">
      <c r="A11" s="137"/>
      <c r="B11" s="80" t="s">
        <v>9</v>
      </c>
      <c r="C11" s="80" t="s">
        <v>139</v>
      </c>
      <c r="D11" s="81">
        <v>647</v>
      </c>
      <c r="E11" s="81">
        <v>588</v>
      </c>
      <c r="F11" s="81">
        <v>544</v>
      </c>
      <c r="G11" s="81">
        <v>510</v>
      </c>
      <c r="H11" s="81">
        <v>479</v>
      </c>
      <c r="I11" s="81">
        <v>475</v>
      </c>
    </row>
    <row r="12" spans="1:9">
      <c r="A12" s="137"/>
      <c r="B12" s="80" t="s">
        <v>10</v>
      </c>
      <c r="C12" s="80" t="s">
        <v>140</v>
      </c>
      <c r="D12" s="81">
        <v>885</v>
      </c>
      <c r="E12" s="81">
        <v>845</v>
      </c>
      <c r="F12" s="81">
        <v>819</v>
      </c>
      <c r="G12" s="81">
        <v>810</v>
      </c>
      <c r="H12" s="81">
        <v>827</v>
      </c>
      <c r="I12" s="81">
        <v>797</v>
      </c>
    </row>
    <row r="13" spans="1:9">
      <c r="A13" s="137"/>
      <c r="B13" s="80" t="s">
        <v>11</v>
      </c>
      <c r="C13" s="80" t="s">
        <v>141</v>
      </c>
      <c r="D13" s="81">
        <v>1138</v>
      </c>
      <c r="E13" s="81">
        <v>1097</v>
      </c>
      <c r="F13" s="81">
        <v>998</v>
      </c>
      <c r="G13" s="81">
        <v>952</v>
      </c>
      <c r="H13" s="81">
        <v>931</v>
      </c>
      <c r="I13" s="81">
        <v>938</v>
      </c>
    </row>
    <row r="14" spans="1:9">
      <c r="A14" s="137"/>
      <c r="B14" s="80" t="s">
        <v>12</v>
      </c>
      <c r="C14" s="80" t="s">
        <v>142</v>
      </c>
      <c r="D14" s="81">
        <v>1382</v>
      </c>
      <c r="E14" s="81">
        <v>1269</v>
      </c>
      <c r="F14" s="81">
        <v>1201</v>
      </c>
      <c r="G14" s="81">
        <v>1149</v>
      </c>
      <c r="H14" s="81">
        <v>1101</v>
      </c>
      <c r="I14" s="81">
        <v>1079</v>
      </c>
    </row>
    <row r="15" spans="1:9">
      <c r="A15" s="137"/>
      <c r="B15" s="80" t="s">
        <v>13</v>
      </c>
      <c r="C15" s="80" t="s">
        <v>143</v>
      </c>
      <c r="D15" s="81">
        <v>906</v>
      </c>
      <c r="E15" s="81">
        <v>856</v>
      </c>
      <c r="F15" s="81">
        <v>832</v>
      </c>
      <c r="G15" s="81">
        <v>809</v>
      </c>
      <c r="H15" s="81">
        <v>775</v>
      </c>
      <c r="I15" s="81">
        <v>727</v>
      </c>
    </row>
    <row r="16" spans="1:9">
      <c r="A16" s="137"/>
      <c r="B16" s="80" t="s">
        <v>14</v>
      </c>
      <c r="C16" s="80" t="s">
        <v>144</v>
      </c>
      <c r="D16" s="81">
        <v>366</v>
      </c>
      <c r="E16" s="81">
        <v>353</v>
      </c>
      <c r="F16" s="81">
        <v>348</v>
      </c>
      <c r="G16" s="81">
        <v>367</v>
      </c>
      <c r="H16" s="81">
        <v>380</v>
      </c>
      <c r="I16" s="81">
        <v>379</v>
      </c>
    </row>
    <row r="17" spans="1:18">
      <c r="A17" s="137"/>
      <c r="B17" s="80" t="s">
        <v>15</v>
      </c>
      <c r="C17" s="80" t="s">
        <v>145</v>
      </c>
      <c r="D17" s="81">
        <v>269</v>
      </c>
      <c r="E17" s="81">
        <v>245</v>
      </c>
      <c r="F17" s="81">
        <v>230</v>
      </c>
      <c r="G17" s="81">
        <v>223</v>
      </c>
      <c r="H17" s="81">
        <v>225</v>
      </c>
      <c r="I17" s="81">
        <v>210</v>
      </c>
    </row>
    <row r="18" spans="1:18">
      <c r="A18" s="137"/>
      <c r="B18" s="80" t="s">
        <v>27</v>
      </c>
      <c r="C18" s="82" t="s">
        <v>29</v>
      </c>
      <c r="D18" s="136">
        <v>22262</v>
      </c>
      <c r="E18" s="136">
        <v>21292</v>
      </c>
      <c r="F18" s="136">
        <v>20704</v>
      </c>
      <c r="G18" s="136">
        <v>20330</v>
      </c>
      <c r="H18" s="136">
        <v>19652</v>
      </c>
      <c r="I18" s="136">
        <v>18926</v>
      </c>
    </row>
    <row r="21" spans="1:18">
      <c r="A21" s="179" t="s">
        <v>74</v>
      </c>
      <c r="B21" s="129" t="s">
        <v>146</v>
      </c>
      <c r="C21" s="129" t="s">
        <v>147</v>
      </c>
      <c r="D21" s="129">
        <v>2021</v>
      </c>
      <c r="E21" s="129">
        <v>2022</v>
      </c>
      <c r="F21" s="129">
        <v>2023</v>
      </c>
      <c r="G21" s="129">
        <v>2024</v>
      </c>
      <c r="H21" s="129">
        <v>2025</v>
      </c>
      <c r="I21" s="129">
        <v>2026</v>
      </c>
      <c r="K21" s="134" t="s">
        <v>146</v>
      </c>
      <c r="L21" s="134" t="s">
        <v>147</v>
      </c>
      <c r="M21" s="134">
        <v>2021</v>
      </c>
      <c r="N21" s="134">
        <v>2022</v>
      </c>
      <c r="O21" s="134">
        <v>2023</v>
      </c>
      <c r="P21" s="134">
        <v>2024</v>
      </c>
      <c r="Q21" s="134">
        <v>2025</v>
      </c>
      <c r="R21" s="134">
        <v>2026</v>
      </c>
    </row>
    <row r="22" spans="1:18">
      <c r="A22" s="179"/>
      <c r="B22" s="130" t="s">
        <v>0</v>
      </c>
      <c r="C22" s="130" t="s">
        <v>131</v>
      </c>
      <c r="D22" s="131">
        <v>132</v>
      </c>
      <c r="E22" s="131">
        <v>133</v>
      </c>
      <c r="F22" s="131">
        <v>127</v>
      </c>
      <c r="G22" s="131">
        <v>136</v>
      </c>
      <c r="H22" s="131">
        <v>122</v>
      </c>
      <c r="I22" s="131">
        <v>74</v>
      </c>
      <c r="K22" s="135" t="s">
        <v>0</v>
      </c>
      <c r="L22" s="135" t="s">
        <v>131</v>
      </c>
      <c r="M22" s="28">
        <v>75</v>
      </c>
      <c r="N22" s="28">
        <v>53</v>
      </c>
      <c r="O22" s="28">
        <v>72</v>
      </c>
      <c r="P22" s="28">
        <v>67</v>
      </c>
      <c r="Q22" s="28">
        <v>80</v>
      </c>
      <c r="R22" s="28">
        <v>74</v>
      </c>
    </row>
    <row r="23" spans="1:18">
      <c r="A23" s="24"/>
      <c r="B23" s="130" t="s">
        <v>1</v>
      </c>
      <c r="C23" s="130" t="s">
        <v>130</v>
      </c>
      <c r="D23" s="131">
        <v>148</v>
      </c>
      <c r="E23" s="131">
        <v>231</v>
      </c>
      <c r="F23" s="131">
        <v>252</v>
      </c>
      <c r="G23" s="131">
        <v>219</v>
      </c>
      <c r="H23" s="131">
        <v>189</v>
      </c>
      <c r="I23" s="131">
        <v>88</v>
      </c>
      <c r="K23" s="135" t="s">
        <v>1</v>
      </c>
      <c r="L23" s="135" t="s">
        <v>130</v>
      </c>
      <c r="M23" s="28">
        <v>59</v>
      </c>
      <c r="N23" s="28">
        <v>120</v>
      </c>
      <c r="O23" s="28">
        <v>134</v>
      </c>
      <c r="P23" s="28">
        <v>128</v>
      </c>
      <c r="Q23" s="28">
        <v>89</v>
      </c>
      <c r="R23" s="28">
        <v>88</v>
      </c>
    </row>
    <row r="24" spans="1:18">
      <c r="A24" s="139" t="s">
        <v>101</v>
      </c>
      <c r="B24" s="130" t="s">
        <v>2</v>
      </c>
      <c r="C24" s="130" t="s">
        <v>132</v>
      </c>
      <c r="D24" s="131">
        <v>75</v>
      </c>
      <c r="E24" s="131">
        <v>79</v>
      </c>
      <c r="F24" s="131">
        <v>60</v>
      </c>
      <c r="G24" s="131">
        <v>101</v>
      </c>
      <c r="H24" s="131">
        <v>75</v>
      </c>
      <c r="I24" s="131">
        <v>51</v>
      </c>
      <c r="K24" s="135" t="s">
        <v>2</v>
      </c>
      <c r="L24" s="135" t="s">
        <v>132</v>
      </c>
      <c r="M24" s="28">
        <v>36</v>
      </c>
      <c r="N24" s="28">
        <v>26</v>
      </c>
      <c r="O24" s="28">
        <v>24</v>
      </c>
      <c r="P24" s="28">
        <v>64</v>
      </c>
      <c r="Q24" s="28">
        <v>29</v>
      </c>
      <c r="R24" s="28">
        <v>51</v>
      </c>
    </row>
    <row r="25" spans="1:18">
      <c r="A25" s="139" t="s">
        <v>103</v>
      </c>
      <c r="B25" s="130" t="s">
        <v>3</v>
      </c>
      <c r="C25" s="130" t="s">
        <v>133</v>
      </c>
      <c r="D25" s="131">
        <v>177</v>
      </c>
      <c r="E25" s="131">
        <v>187</v>
      </c>
      <c r="F25" s="131">
        <v>220</v>
      </c>
      <c r="G25" s="131">
        <v>252</v>
      </c>
      <c r="H25" s="131">
        <v>183</v>
      </c>
      <c r="I25" s="131">
        <v>122</v>
      </c>
      <c r="K25" s="135" t="s">
        <v>3</v>
      </c>
      <c r="L25" s="135" t="s">
        <v>133</v>
      </c>
      <c r="M25" s="28">
        <v>79</v>
      </c>
      <c r="N25" s="28">
        <v>79</v>
      </c>
      <c r="O25" s="28">
        <v>122</v>
      </c>
      <c r="P25" s="28">
        <v>137</v>
      </c>
      <c r="Q25" s="28">
        <v>93</v>
      </c>
      <c r="R25" s="28">
        <v>122</v>
      </c>
    </row>
    <row r="26" spans="1:18">
      <c r="A26" s="24"/>
      <c r="B26" s="130" t="s">
        <v>4</v>
      </c>
      <c r="C26" s="130" t="s">
        <v>134</v>
      </c>
      <c r="D26" s="131">
        <v>381</v>
      </c>
      <c r="E26" s="131">
        <v>331</v>
      </c>
      <c r="F26" s="131">
        <v>420</v>
      </c>
      <c r="G26" s="131">
        <v>319</v>
      </c>
      <c r="H26" s="131">
        <v>299</v>
      </c>
      <c r="I26" s="131">
        <v>183</v>
      </c>
      <c r="K26" s="135" t="s">
        <v>4</v>
      </c>
      <c r="L26" s="135" t="s">
        <v>134</v>
      </c>
      <c r="M26" s="28">
        <v>183</v>
      </c>
      <c r="N26" s="28">
        <v>154</v>
      </c>
      <c r="O26" s="28">
        <v>233</v>
      </c>
      <c r="P26" s="28">
        <v>156</v>
      </c>
      <c r="Q26" s="28">
        <v>173</v>
      </c>
      <c r="R26" s="28">
        <v>183</v>
      </c>
    </row>
    <row r="27" spans="1:18">
      <c r="A27" s="24"/>
      <c r="B27" s="130" t="s">
        <v>5</v>
      </c>
      <c r="C27" s="130" t="s">
        <v>135</v>
      </c>
      <c r="D27" s="131">
        <v>133</v>
      </c>
      <c r="E27" s="131">
        <v>103</v>
      </c>
      <c r="F27" s="131">
        <v>112</v>
      </c>
      <c r="G27" s="131">
        <v>125</v>
      </c>
      <c r="H27" s="131">
        <v>123</v>
      </c>
      <c r="I27" s="131">
        <v>55</v>
      </c>
      <c r="K27" s="135" t="s">
        <v>5</v>
      </c>
      <c r="L27" s="135" t="s">
        <v>135</v>
      </c>
      <c r="M27" s="28">
        <v>65</v>
      </c>
      <c r="N27" s="28">
        <v>56</v>
      </c>
      <c r="O27" s="28">
        <v>45</v>
      </c>
      <c r="P27" s="28">
        <v>61</v>
      </c>
      <c r="Q27" s="28">
        <v>59</v>
      </c>
      <c r="R27" s="28">
        <v>55</v>
      </c>
    </row>
    <row r="28" spans="1:18">
      <c r="A28" s="24"/>
      <c r="B28" s="130" t="s">
        <v>6</v>
      </c>
      <c r="C28" s="130" t="s">
        <v>136</v>
      </c>
      <c r="D28" s="131">
        <v>74</v>
      </c>
      <c r="E28" s="131">
        <v>69</v>
      </c>
      <c r="F28" s="131">
        <v>150</v>
      </c>
      <c r="G28" s="131">
        <v>89</v>
      </c>
      <c r="H28" s="131">
        <v>67</v>
      </c>
      <c r="I28" s="131">
        <v>60</v>
      </c>
      <c r="K28" s="135" t="s">
        <v>6</v>
      </c>
      <c r="L28" s="135" t="s">
        <v>136</v>
      </c>
      <c r="M28" s="28">
        <v>31</v>
      </c>
      <c r="N28" s="28">
        <v>35</v>
      </c>
      <c r="O28" s="28">
        <v>89</v>
      </c>
      <c r="P28" s="28">
        <v>39</v>
      </c>
      <c r="Q28" s="28">
        <v>47</v>
      </c>
      <c r="R28" s="28">
        <v>60</v>
      </c>
    </row>
    <row r="29" spans="1:18">
      <c r="A29" s="24"/>
      <c r="B29" s="130" t="s">
        <v>7</v>
      </c>
      <c r="C29" s="130" t="s">
        <v>137</v>
      </c>
      <c r="D29" s="131">
        <v>33</v>
      </c>
      <c r="E29" s="131">
        <v>69</v>
      </c>
      <c r="F29" s="131">
        <v>73</v>
      </c>
      <c r="G29" s="131">
        <v>91</v>
      </c>
      <c r="H29" s="131">
        <v>71</v>
      </c>
      <c r="I29" s="131">
        <v>63</v>
      </c>
      <c r="K29" s="135" t="s">
        <v>7</v>
      </c>
      <c r="L29" s="135" t="s">
        <v>137</v>
      </c>
      <c r="M29" s="28">
        <v>22</v>
      </c>
      <c r="N29" s="28">
        <v>23</v>
      </c>
      <c r="O29" s="28">
        <v>48</v>
      </c>
      <c r="P29" s="28">
        <v>45</v>
      </c>
      <c r="Q29" s="28">
        <v>50</v>
      </c>
      <c r="R29" s="28">
        <v>63</v>
      </c>
    </row>
    <row r="30" spans="1:18">
      <c r="A30" s="24"/>
      <c r="B30" s="130" t="s">
        <v>8</v>
      </c>
      <c r="C30" s="130" t="s">
        <v>138</v>
      </c>
      <c r="D30" s="131">
        <v>46</v>
      </c>
      <c r="E30" s="131">
        <v>60</v>
      </c>
      <c r="F30" s="131">
        <v>61</v>
      </c>
      <c r="G30" s="131">
        <v>52</v>
      </c>
      <c r="H30" s="131">
        <v>62</v>
      </c>
      <c r="I30" s="131">
        <v>31</v>
      </c>
      <c r="K30" s="135" t="s">
        <v>8</v>
      </c>
      <c r="L30" s="135" t="s">
        <v>138</v>
      </c>
      <c r="M30" s="28">
        <v>25</v>
      </c>
      <c r="N30" s="28">
        <v>29</v>
      </c>
      <c r="O30" s="28">
        <v>32</v>
      </c>
      <c r="P30" s="28">
        <v>36</v>
      </c>
      <c r="Q30" s="28">
        <v>38</v>
      </c>
      <c r="R30" s="28">
        <v>31</v>
      </c>
    </row>
    <row r="31" spans="1:18">
      <c r="A31" s="24"/>
      <c r="B31" s="130" t="s">
        <v>9</v>
      </c>
      <c r="C31" s="130" t="s">
        <v>139</v>
      </c>
      <c r="D31" s="131">
        <v>26</v>
      </c>
      <c r="E31" s="131">
        <v>22</v>
      </c>
      <c r="F31" s="131">
        <v>31</v>
      </c>
      <c r="G31" s="131">
        <v>26</v>
      </c>
      <c r="H31" s="131">
        <v>26</v>
      </c>
      <c r="I31" s="131">
        <v>26</v>
      </c>
      <c r="K31" s="135" t="s">
        <v>9</v>
      </c>
      <c r="L31" s="135" t="s">
        <v>139</v>
      </c>
      <c r="M31" s="28">
        <v>10</v>
      </c>
      <c r="N31" s="28">
        <v>10</v>
      </c>
      <c r="O31" s="28">
        <v>15</v>
      </c>
      <c r="P31" s="28">
        <v>7</v>
      </c>
      <c r="Q31" s="28">
        <v>12</v>
      </c>
      <c r="R31" s="28">
        <v>26</v>
      </c>
    </row>
    <row r="32" spans="1:18">
      <c r="A32" s="24"/>
      <c r="B32" s="130" t="s">
        <v>10</v>
      </c>
      <c r="C32" s="130" t="s">
        <v>140</v>
      </c>
      <c r="D32" s="131">
        <v>72</v>
      </c>
      <c r="E32" s="131">
        <v>54</v>
      </c>
      <c r="F32" s="131">
        <v>85</v>
      </c>
      <c r="G32" s="131">
        <v>71</v>
      </c>
      <c r="H32" s="131">
        <v>87</v>
      </c>
      <c r="I32" s="131">
        <v>39</v>
      </c>
      <c r="K32" s="135" t="s">
        <v>10</v>
      </c>
      <c r="L32" s="135" t="s">
        <v>140</v>
      </c>
      <c r="M32" s="28">
        <v>38</v>
      </c>
      <c r="N32" s="28">
        <v>28</v>
      </c>
      <c r="O32" s="28">
        <v>49</v>
      </c>
      <c r="P32" s="28">
        <v>39</v>
      </c>
      <c r="Q32" s="28">
        <v>53</v>
      </c>
      <c r="R32" s="28">
        <v>39</v>
      </c>
    </row>
    <row r="33" spans="1:18">
      <c r="A33" s="24"/>
      <c r="B33" s="130" t="s">
        <v>11</v>
      </c>
      <c r="C33" s="130" t="s">
        <v>141</v>
      </c>
      <c r="D33" s="131">
        <v>78</v>
      </c>
      <c r="E33" s="131">
        <v>70</v>
      </c>
      <c r="F33" s="131">
        <v>70</v>
      </c>
      <c r="G33" s="131">
        <v>95</v>
      </c>
      <c r="H33" s="131">
        <v>81</v>
      </c>
      <c r="I33" s="131">
        <v>35</v>
      </c>
      <c r="K33" s="135" t="s">
        <v>11</v>
      </c>
      <c r="L33" s="135" t="s">
        <v>141</v>
      </c>
      <c r="M33" s="28">
        <v>34</v>
      </c>
      <c r="N33" s="28">
        <v>43</v>
      </c>
      <c r="O33" s="28">
        <v>34</v>
      </c>
      <c r="P33" s="28">
        <v>48</v>
      </c>
      <c r="Q33" s="28">
        <v>34</v>
      </c>
      <c r="R33" s="28">
        <v>35</v>
      </c>
    </row>
    <row r="34" spans="1:18">
      <c r="A34" s="24"/>
      <c r="B34" s="130" t="s">
        <v>12</v>
      </c>
      <c r="C34" s="130" t="s">
        <v>142</v>
      </c>
      <c r="D34" s="131">
        <v>75</v>
      </c>
      <c r="E34" s="131">
        <v>89</v>
      </c>
      <c r="F34" s="131">
        <v>107</v>
      </c>
      <c r="G34" s="131">
        <v>104</v>
      </c>
      <c r="H34" s="131">
        <v>87</v>
      </c>
      <c r="I34" s="131">
        <v>36</v>
      </c>
      <c r="K34" s="135" t="s">
        <v>12</v>
      </c>
      <c r="L34" s="135" t="s">
        <v>142</v>
      </c>
      <c r="M34" s="28">
        <v>39</v>
      </c>
      <c r="N34" s="28">
        <v>34</v>
      </c>
      <c r="O34" s="28">
        <v>51</v>
      </c>
      <c r="P34" s="28">
        <v>51</v>
      </c>
      <c r="Q34" s="28">
        <v>36</v>
      </c>
      <c r="R34" s="28">
        <v>36</v>
      </c>
    </row>
    <row r="35" spans="1:18">
      <c r="A35" s="24"/>
      <c r="B35" s="130" t="s">
        <v>13</v>
      </c>
      <c r="C35" s="130" t="s">
        <v>143</v>
      </c>
      <c r="D35" s="131">
        <v>60</v>
      </c>
      <c r="E35" s="131">
        <v>76</v>
      </c>
      <c r="F35" s="131">
        <v>91</v>
      </c>
      <c r="G35" s="131">
        <v>63</v>
      </c>
      <c r="H35" s="131">
        <v>66</v>
      </c>
      <c r="I35" s="131">
        <v>32</v>
      </c>
      <c r="K35" s="135" t="s">
        <v>13</v>
      </c>
      <c r="L35" s="135" t="s">
        <v>143</v>
      </c>
      <c r="M35" s="28">
        <v>24</v>
      </c>
      <c r="N35" s="28">
        <v>39</v>
      </c>
      <c r="O35" s="28">
        <v>45</v>
      </c>
      <c r="P35" s="28">
        <v>26</v>
      </c>
      <c r="Q35" s="28">
        <v>34</v>
      </c>
      <c r="R35" s="28">
        <v>32</v>
      </c>
    </row>
    <row r="36" spans="1:18">
      <c r="A36" s="24"/>
      <c r="B36" s="130" t="s">
        <v>14</v>
      </c>
      <c r="C36" s="130" t="s">
        <v>144</v>
      </c>
      <c r="D36" s="131">
        <v>30</v>
      </c>
      <c r="E36" s="131">
        <v>16</v>
      </c>
      <c r="F36" s="131">
        <v>59</v>
      </c>
      <c r="G36" s="131">
        <v>53</v>
      </c>
      <c r="H36" s="131">
        <v>54</v>
      </c>
      <c r="I36" s="131">
        <v>4</v>
      </c>
      <c r="K36" s="135" t="s">
        <v>14</v>
      </c>
      <c r="L36" s="135" t="s">
        <v>144</v>
      </c>
      <c r="M36" s="28">
        <v>15</v>
      </c>
      <c r="N36" s="28">
        <v>8</v>
      </c>
      <c r="O36" s="28">
        <v>30</v>
      </c>
      <c r="P36" s="28">
        <v>22</v>
      </c>
      <c r="Q36" s="28">
        <v>22</v>
      </c>
      <c r="R36" s="28">
        <v>4</v>
      </c>
    </row>
    <row r="37" spans="1:18">
      <c r="A37" s="24"/>
      <c r="B37" s="130" t="s">
        <v>15</v>
      </c>
      <c r="C37" s="130" t="s">
        <v>145</v>
      </c>
      <c r="D37" s="131">
        <v>13</v>
      </c>
      <c r="E37" s="131">
        <v>11</v>
      </c>
      <c r="F37" s="131">
        <v>22</v>
      </c>
      <c r="G37" s="131">
        <v>20</v>
      </c>
      <c r="H37" s="131">
        <v>9</v>
      </c>
      <c r="I37" s="131">
        <v>7</v>
      </c>
      <c r="K37" s="135" t="s">
        <v>15</v>
      </c>
      <c r="L37" s="135" t="s">
        <v>145</v>
      </c>
      <c r="M37" s="28">
        <v>9</v>
      </c>
      <c r="N37" s="28">
        <v>6</v>
      </c>
      <c r="O37" s="28">
        <v>11</v>
      </c>
      <c r="P37" s="28">
        <v>5</v>
      </c>
      <c r="Q37" s="28">
        <v>8</v>
      </c>
      <c r="R37" s="28">
        <v>7</v>
      </c>
    </row>
    <row r="38" spans="1:18">
      <c r="A38" s="24"/>
      <c r="B38" s="132"/>
      <c r="C38" s="132"/>
      <c r="D38" s="133">
        <v>1553</v>
      </c>
      <c r="E38" s="133">
        <v>1600</v>
      </c>
      <c r="F38" s="133">
        <v>1940</v>
      </c>
      <c r="G38" s="133">
        <v>1816</v>
      </c>
      <c r="H38" s="133">
        <v>1601</v>
      </c>
      <c r="I38" s="133">
        <v>906</v>
      </c>
      <c r="K38" s="24"/>
      <c r="L38" s="24"/>
      <c r="M38" s="134">
        <v>744</v>
      </c>
      <c r="N38" s="134">
        <v>743</v>
      </c>
      <c r="O38" s="134">
        <v>1034</v>
      </c>
      <c r="P38" s="134">
        <v>931</v>
      </c>
      <c r="Q38" s="134">
        <v>857</v>
      </c>
      <c r="R38" s="134">
        <v>906</v>
      </c>
    </row>
    <row r="41" spans="1:18">
      <c r="A41" s="173" t="s">
        <v>82</v>
      </c>
      <c r="B41" s="2" t="s">
        <v>146</v>
      </c>
      <c r="C41" s="2" t="s">
        <v>147</v>
      </c>
      <c r="D41" s="2">
        <v>2021</v>
      </c>
      <c r="E41" s="2">
        <v>2022</v>
      </c>
      <c r="F41" s="2">
        <v>2023</v>
      </c>
      <c r="G41" s="2">
        <v>2024</v>
      </c>
      <c r="H41" s="2">
        <v>2025</v>
      </c>
      <c r="I41" s="2">
        <v>2026</v>
      </c>
      <c r="K41" s="26" t="s">
        <v>146</v>
      </c>
      <c r="L41" s="26" t="s">
        <v>147</v>
      </c>
      <c r="M41" s="26">
        <v>2021</v>
      </c>
      <c r="N41" s="26">
        <v>2022</v>
      </c>
      <c r="O41" s="26">
        <v>2023</v>
      </c>
      <c r="P41" s="26">
        <v>2024</v>
      </c>
      <c r="Q41" s="26">
        <v>2025</v>
      </c>
      <c r="R41" s="26">
        <v>2026</v>
      </c>
    </row>
    <row r="42" spans="1:18">
      <c r="A42" s="173"/>
      <c r="B42" s="34" t="s">
        <v>0</v>
      </c>
      <c r="C42" s="34" t="s">
        <v>131</v>
      </c>
      <c r="D42" s="29">
        <v>95</v>
      </c>
      <c r="E42" s="29">
        <v>104</v>
      </c>
      <c r="F42" s="29">
        <v>97</v>
      </c>
      <c r="G42" s="29">
        <v>121</v>
      </c>
      <c r="H42" s="29">
        <v>121</v>
      </c>
      <c r="I42" s="29">
        <v>35</v>
      </c>
      <c r="K42" s="126" t="s">
        <v>0</v>
      </c>
      <c r="L42" s="126" t="s">
        <v>131</v>
      </c>
      <c r="M42" s="127">
        <v>16</v>
      </c>
      <c r="N42" s="127">
        <v>18</v>
      </c>
      <c r="O42" s="127">
        <v>30</v>
      </c>
      <c r="P42" s="127">
        <v>29</v>
      </c>
      <c r="Q42" s="127">
        <v>48</v>
      </c>
      <c r="R42" s="127">
        <v>35</v>
      </c>
    </row>
    <row r="43" spans="1:18">
      <c r="A43" s="128"/>
      <c r="B43" s="34" t="s">
        <v>1</v>
      </c>
      <c r="C43" s="34" t="s">
        <v>130</v>
      </c>
      <c r="D43" s="29">
        <v>192</v>
      </c>
      <c r="E43" s="29">
        <v>224</v>
      </c>
      <c r="F43" s="29">
        <v>146</v>
      </c>
      <c r="G43" s="29">
        <v>164</v>
      </c>
      <c r="H43" s="29">
        <v>209</v>
      </c>
      <c r="I43" s="29">
        <v>31</v>
      </c>
      <c r="K43" s="126" t="s">
        <v>1</v>
      </c>
      <c r="L43" s="126" t="s">
        <v>130</v>
      </c>
      <c r="M43" s="127">
        <v>30</v>
      </c>
      <c r="N43" s="127">
        <v>59</v>
      </c>
      <c r="O43" s="127">
        <v>19</v>
      </c>
      <c r="P43" s="127">
        <v>30</v>
      </c>
      <c r="Q43" s="127">
        <v>28</v>
      </c>
      <c r="R43" s="127">
        <v>31</v>
      </c>
    </row>
    <row r="44" spans="1:18">
      <c r="A44" s="140"/>
      <c r="B44" s="34" t="s">
        <v>2</v>
      </c>
      <c r="C44" s="34" t="s">
        <v>132</v>
      </c>
      <c r="D44" s="29">
        <v>90</v>
      </c>
      <c r="E44" s="29">
        <v>85</v>
      </c>
      <c r="F44" s="29">
        <v>83</v>
      </c>
      <c r="G44" s="29">
        <v>82</v>
      </c>
      <c r="H44" s="29">
        <v>111</v>
      </c>
      <c r="I44" s="29">
        <v>5</v>
      </c>
      <c r="K44" s="126" t="s">
        <v>2</v>
      </c>
      <c r="L44" s="126" t="s">
        <v>132</v>
      </c>
      <c r="M44" s="127">
        <v>1</v>
      </c>
      <c r="N44" s="127">
        <v>6</v>
      </c>
      <c r="O44" s="127">
        <v>17</v>
      </c>
      <c r="P44" s="127">
        <v>11</v>
      </c>
      <c r="Q44" s="127">
        <v>20</v>
      </c>
      <c r="R44" s="127">
        <v>5</v>
      </c>
    </row>
    <row r="45" spans="1:18">
      <c r="A45" s="140"/>
      <c r="B45" s="34" t="s">
        <v>3</v>
      </c>
      <c r="C45" s="34" t="s">
        <v>133</v>
      </c>
      <c r="D45" s="29">
        <v>170</v>
      </c>
      <c r="E45" s="29">
        <v>198</v>
      </c>
      <c r="F45" s="29">
        <v>146</v>
      </c>
      <c r="G45" s="29">
        <v>181</v>
      </c>
      <c r="H45" s="29">
        <v>229</v>
      </c>
      <c r="I45" s="29">
        <v>52</v>
      </c>
      <c r="K45" s="126" t="s">
        <v>3</v>
      </c>
      <c r="L45" s="126" t="s">
        <v>133</v>
      </c>
      <c r="M45" s="127">
        <v>33</v>
      </c>
      <c r="N45" s="127">
        <v>36</v>
      </c>
      <c r="O45" s="127">
        <v>27</v>
      </c>
      <c r="P45" s="127">
        <v>26</v>
      </c>
      <c r="Q45" s="127">
        <v>54</v>
      </c>
      <c r="R45" s="127">
        <v>52</v>
      </c>
    </row>
    <row r="46" spans="1:18">
      <c r="A46" s="128"/>
      <c r="B46" s="34" t="s">
        <v>4</v>
      </c>
      <c r="C46" s="34" t="s">
        <v>134</v>
      </c>
      <c r="D46" s="29">
        <v>363</v>
      </c>
      <c r="E46" s="29">
        <v>385</v>
      </c>
      <c r="F46" s="29">
        <v>368</v>
      </c>
      <c r="G46" s="29">
        <v>383</v>
      </c>
      <c r="H46" s="29">
        <v>366</v>
      </c>
      <c r="I46" s="29">
        <v>82</v>
      </c>
      <c r="K46" s="126" t="s">
        <v>4</v>
      </c>
      <c r="L46" s="126" t="s">
        <v>134</v>
      </c>
      <c r="M46" s="127">
        <v>79</v>
      </c>
      <c r="N46" s="127">
        <v>70</v>
      </c>
      <c r="O46" s="127">
        <v>61</v>
      </c>
      <c r="P46" s="127">
        <v>87</v>
      </c>
      <c r="Q46" s="127">
        <v>76</v>
      </c>
      <c r="R46" s="127">
        <v>82</v>
      </c>
    </row>
    <row r="47" spans="1:18">
      <c r="A47" s="128"/>
      <c r="B47" s="34" t="s">
        <v>5</v>
      </c>
      <c r="C47" s="34" t="s">
        <v>135</v>
      </c>
      <c r="D47" s="29">
        <v>121</v>
      </c>
      <c r="E47" s="29">
        <v>140</v>
      </c>
      <c r="F47" s="29">
        <v>83</v>
      </c>
      <c r="G47" s="29">
        <v>121</v>
      </c>
      <c r="H47" s="29">
        <v>127</v>
      </c>
      <c r="I47" s="29">
        <v>12</v>
      </c>
      <c r="K47" s="126" t="s">
        <v>5</v>
      </c>
      <c r="L47" s="126" t="s">
        <v>135</v>
      </c>
      <c r="M47" s="127">
        <v>25</v>
      </c>
      <c r="N47" s="127">
        <v>32</v>
      </c>
      <c r="O47" s="127">
        <v>15</v>
      </c>
      <c r="P47" s="127">
        <v>9</v>
      </c>
      <c r="Q47" s="127">
        <v>29</v>
      </c>
      <c r="R47" s="127">
        <v>12</v>
      </c>
    </row>
    <row r="48" spans="1:18">
      <c r="A48" s="128"/>
      <c r="B48" s="34" t="s">
        <v>6</v>
      </c>
      <c r="C48" s="34" t="s">
        <v>136</v>
      </c>
      <c r="D48" s="29">
        <v>59</v>
      </c>
      <c r="E48" s="29">
        <v>84</v>
      </c>
      <c r="F48" s="29">
        <v>81</v>
      </c>
      <c r="G48" s="29">
        <v>101</v>
      </c>
      <c r="H48" s="29">
        <v>87</v>
      </c>
      <c r="I48" s="29">
        <v>30</v>
      </c>
      <c r="K48" s="126" t="s">
        <v>6</v>
      </c>
      <c r="L48" s="126" t="s">
        <v>136</v>
      </c>
      <c r="M48" s="127">
        <v>6</v>
      </c>
      <c r="N48" s="127">
        <v>18</v>
      </c>
      <c r="O48" s="127">
        <v>9</v>
      </c>
      <c r="P48" s="127">
        <v>16</v>
      </c>
      <c r="Q48" s="127">
        <v>14</v>
      </c>
      <c r="R48" s="127">
        <v>30</v>
      </c>
    </row>
    <row r="49" spans="1:18">
      <c r="A49" s="128"/>
      <c r="B49" s="34" t="s">
        <v>7</v>
      </c>
      <c r="C49" s="34" t="s">
        <v>137</v>
      </c>
      <c r="D49" s="29">
        <v>93</v>
      </c>
      <c r="E49" s="29">
        <v>37</v>
      </c>
      <c r="F49" s="29">
        <v>74</v>
      </c>
      <c r="G49" s="29">
        <v>78</v>
      </c>
      <c r="H49" s="29">
        <v>60</v>
      </c>
      <c r="I49" s="29">
        <v>23</v>
      </c>
      <c r="K49" s="126" t="s">
        <v>7</v>
      </c>
      <c r="L49" s="126" t="s">
        <v>137</v>
      </c>
      <c r="M49" s="127">
        <v>12</v>
      </c>
      <c r="N49" s="127">
        <v>7</v>
      </c>
      <c r="O49" s="127">
        <v>2</v>
      </c>
      <c r="P49" s="127">
        <v>12</v>
      </c>
      <c r="Q49" s="127">
        <v>14</v>
      </c>
      <c r="R49" s="127">
        <v>23</v>
      </c>
    </row>
    <row r="50" spans="1:18">
      <c r="A50" s="128"/>
      <c r="B50" s="34" t="s">
        <v>8</v>
      </c>
      <c r="C50" s="34" t="s">
        <v>138</v>
      </c>
      <c r="D50" s="29">
        <v>37</v>
      </c>
      <c r="E50" s="29">
        <v>82</v>
      </c>
      <c r="F50" s="29">
        <v>42</v>
      </c>
      <c r="G50" s="29">
        <v>47</v>
      </c>
      <c r="H50" s="29">
        <v>38</v>
      </c>
      <c r="I50" s="29">
        <v>6</v>
      </c>
      <c r="K50" s="126" t="s">
        <v>8</v>
      </c>
      <c r="L50" s="126" t="s">
        <v>138</v>
      </c>
      <c r="M50" s="127">
        <v>4</v>
      </c>
      <c r="N50" s="127">
        <v>13</v>
      </c>
      <c r="O50" s="127">
        <v>13</v>
      </c>
      <c r="P50" s="127">
        <v>11</v>
      </c>
      <c r="Q50" s="127">
        <v>0</v>
      </c>
      <c r="R50" s="127">
        <v>6</v>
      </c>
    </row>
    <row r="51" spans="1:18">
      <c r="A51" s="128"/>
      <c r="B51" s="34" t="s">
        <v>9</v>
      </c>
      <c r="C51" s="34" t="s">
        <v>139</v>
      </c>
      <c r="D51" s="29">
        <v>55</v>
      </c>
      <c r="E51" s="29">
        <v>40</v>
      </c>
      <c r="F51" s="29">
        <v>38</v>
      </c>
      <c r="G51" s="29">
        <v>37</v>
      </c>
      <c r="H51" s="29">
        <v>39</v>
      </c>
      <c r="I51" s="29">
        <v>0</v>
      </c>
      <c r="K51" s="126" t="s">
        <v>9</v>
      </c>
      <c r="L51" s="126" t="s">
        <v>139</v>
      </c>
      <c r="M51" s="127">
        <v>9</v>
      </c>
      <c r="N51" s="127">
        <v>1</v>
      </c>
      <c r="O51" s="127">
        <v>0</v>
      </c>
      <c r="P51" s="127">
        <v>0</v>
      </c>
      <c r="Q51" s="127">
        <v>11</v>
      </c>
      <c r="R51" s="127">
        <v>0</v>
      </c>
    </row>
    <row r="52" spans="1:18">
      <c r="A52" s="128"/>
      <c r="B52" s="34" t="s">
        <v>10</v>
      </c>
      <c r="C52" s="34" t="s">
        <v>140</v>
      </c>
      <c r="D52" s="29">
        <v>76</v>
      </c>
      <c r="E52" s="29">
        <v>60</v>
      </c>
      <c r="F52" s="29">
        <v>66</v>
      </c>
      <c r="G52" s="29">
        <v>49</v>
      </c>
      <c r="H52" s="29">
        <v>78</v>
      </c>
      <c r="I52" s="29">
        <v>8</v>
      </c>
      <c r="K52" s="126" t="s">
        <v>10</v>
      </c>
      <c r="L52" s="126" t="s">
        <v>140</v>
      </c>
      <c r="M52" s="127">
        <v>20</v>
      </c>
      <c r="N52" s="127">
        <v>7</v>
      </c>
      <c r="O52" s="127">
        <v>19</v>
      </c>
      <c r="P52" s="127">
        <v>13</v>
      </c>
      <c r="Q52" s="127">
        <v>16</v>
      </c>
      <c r="R52" s="127">
        <v>8</v>
      </c>
    </row>
    <row r="53" spans="1:18">
      <c r="A53" s="128"/>
      <c r="B53" s="34" t="s">
        <v>11</v>
      </c>
      <c r="C53" s="34" t="s">
        <v>141</v>
      </c>
      <c r="D53" s="29">
        <v>83</v>
      </c>
      <c r="E53" s="29">
        <v>115</v>
      </c>
      <c r="F53" s="29">
        <v>75</v>
      </c>
      <c r="G53" s="29">
        <v>74</v>
      </c>
      <c r="H53" s="29">
        <v>53</v>
      </c>
      <c r="I53" s="29">
        <v>10</v>
      </c>
      <c r="K53" s="126" t="s">
        <v>11</v>
      </c>
      <c r="L53" s="126" t="s">
        <v>141</v>
      </c>
      <c r="M53" s="127">
        <v>11</v>
      </c>
      <c r="N53" s="127">
        <v>17</v>
      </c>
      <c r="O53" s="127">
        <v>10</v>
      </c>
      <c r="P53" s="127">
        <v>20</v>
      </c>
      <c r="Q53" s="127">
        <v>7</v>
      </c>
      <c r="R53" s="127">
        <v>10</v>
      </c>
    </row>
    <row r="54" spans="1:18">
      <c r="A54" s="128"/>
      <c r="B54" s="34" t="s">
        <v>12</v>
      </c>
      <c r="C54" s="34" t="s">
        <v>142</v>
      </c>
      <c r="D54" s="29">
        <v>104</v>
      </c>
      <c r="E54" s="29">
        <v>99</v>
      </c>
      <c r="F54" s="29">
        <v>108</v>
      </c>
      <c r="G54" s="29">
        <v>86</v>
      </c>
      <c r="H54" s="29">
        <v>54</v>
      </c>
      <c r="I54" s="29">
        <v>21</v>
      </c>
      <c r="K54" s="126" t="s">
        <v>12</v>
      </c>
      <c r="L54" s="126" t="s">
        <v>142</v>
      </c>
      <c r="M54" s="127">
        <v>5</v>
      </c>
      <c r="N54" s="127">
        <v>7</v>
      </c>
      <c r="O54" s="127">
        <v>13</v>
      </c>
      <c r="P54" s="127">
        <v>7</v>
      </c>
      <c r="Q54" s="127">
        <v>10</v>
      </c>
      <c r="R54" s="127">
        <v>21</v>
      </c>
    </row>
    <row r="55" spans="1:18">
      <c r="A55" s="128"/>
      <c r="B55" s="34" t="s">
        <v>13</v>
      </c>
      <c r="C55" s="34" t="s">
        <v>143</v>
      </c>
      <c r="D55" s="29">
        <v>76</v>
      </c>
      <c r="E55" s="29">
        <v>86</v>
      </c>
      <c r="F55" s="29">
        <v>53</v>
      </c>
      <c r="G55" s="29">
        <v>77</v>
      </c>
      <c r="H55" s="29">
        <v>84</v>
      </c>
      <c r="I55" s="29">
        <v>9</v>
      </c>
      <c r="K55" s="126" t="s">
        <v>13</v>
      </c>
      <c r="L55" s="126" t="s">
        <v>143</v>
      </c>
      <c r="M55" s="127">
        <v>4</v>
      </c>
      <c r="N55" s="127">
        <v>11</v>
      </c>
      <c r="O55" s="127">
        <v>3</v>
      </c>
      <c r="P55" s="127">
        <v>6</v>
      </c>
      <c r="Q55" s="127">
        <v>8</v>
      </c>
      <c r="R55" s="127">
        <v>9</v>
      </c>
    </row>
    <row r="56" spans="1:18">
      <c r="A56" s="128"/>
      <c r="B56" s="34" t="s">
        <v>14</v>
      </c>
      <c r="C56" s="34" t="s">
        <v>144</v>
      </c>
      <c r="D56" s="29">
        <v>30</v>
      </c>
      <c r="E56" s="29">
        <v>16</v>
      </c>
      <c r="F56" s="29">
        <v>31</v>
      </c>
      <c r="G56" s="29">
        <v>32</v>
      </c>
      <c r="H56" s="29">
        <v>21</v>
      </c>
      <c r="I56" s="29">
        <v>16</v>
      </c>
      <c r="K56" s="126" t="s">
        <v>14</v>
      </c>
      <c r="L56" s="126" t="s">
        <v>144</v>
      </c>
      <c r="M56" s="127">
        <v>0</v>
      </c>
      <c r="N56" s="127">
        <v>4</v>
      </c>
      <c r="O56" s="127">
        <v>16</v>
      </c>
      <c r="P56" s="127">
        <v>0</v>
      </c>
      <c r="Q56" s="127">
        <v>7</v>
      </c>
      <c r="R56" s="127">
        <v>16</v>
      </c>
    </row>
    <row r="57" spans="1:18">
      <c r="A57" s="128"/>
      <c r="B57" s="34" t="s">
        <v>15</v>
      </c>
      <c r="C57" s="34" t="s">
        <v>145</v>
      </c>
      <c r="D57" s="29">
        <v>25</v>
      </c>
      <c r="E57" s="29">
        <v>32</v>
      </c>
      <c r="F57" s="29">
        <v>19</v>
      </c>
      <c r="G57" s="29">
        <v>11</v>
      </c>
      <c r="H57" s="29">
        <v>17</v>
      </c>
      <c r="I57" s="29">
        <v>2</v>
      </c>
      <c r="K57" s="126" t="s">
        <v>15</v>
      </c>
      <c r="L57" s="126" t="s">
        <v>145</v>
      </c>
      <c r="M57" s="127">
        <v>5</v>
      </c>
      <c r="N57" s="127">
        <v>5</v>
      </c>
      <c r="O57" s="127">
        <v>5</v>
      </c>
      <c r="P57" s="127">
        <v>0</v>
      </c>
      <c r="Q57" s="127">
        <v>1</v>
      </c>
      <c r="R57" s="127">
        <v>2</v>
      </c>
    </row>
    <row r="58" spans="1:18">
      <c r="A58" s="128"/>
      <c r="B58" s="25"/>
      <c r="C58" s="25"/>
      <c r="D58" s="27">
        <v>1669</v>
      </c>
      <c r="E58" s="27">
        <v>1787</v>
      </c>
      <c r="F58" s="27">
        <v>1510</v>
      </c>
      <c r="G58" s="27">
        <v>1644</v>
      </c>
      <c r="H58" s="27">
        <v>1694</v>
      </c>
      <c r="I58" s="27">
        <v>342</v>
      </c>
      <c r="K58" s="128"/>
      <c r="L58" s="128"/>
      <c r="M58" s="26">
        <v>260</v>
      </c>
      <c r="N58" s="26">
        <v>311</v>
      </c>
      <c r="O58" s="26">
        <v>259</v>
      </c>
      <c r="P58" s="26">
        <v>277</v>
      </c>
      <c r="Q58" s="26">
        <v>343</v>
      </c>
      <c r="R58" s="26">
        <v>342</v>
      </c>
    </row>
  </sheetData>
  <mergeCells count="3">
    <mergeCell ref="A1:A2"/>
    <mergeCell ref="A21:A22"/>
    <mergeCell ref="A41:A42"/>
  </mergeCells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8"/>
  <dimension ref="B4:E112"/>
  <sheetViews>
    <sheetView workbookViewId="0">
      <selection sqref="A1:A2"/>
    </sheetView>
  </sheetViews>
  <sheetFormatPr defaultColWidth="8.77734375" defaultRowHeight="14.4"/>
  <cols>
    <col min="1" max="1" width="2.6640625" customWidth="1"/>
    <col min="2" max="2" width="21.6640625" customWidth="1"/>
    <col min="3" max="3" width="7.109375" customWidth="1"/>
    <col min="4" max="4" width="3.33203125" customWidth="1"/>
  </cols>
  <sheetData>
    <row r="4" spans="2:4">
      <c r="B4" s="23" t="str">
        <f>CONCATENATE(UPPER($B$10), " ", B6)</f>
        <v>JULY 2026</v>
      </c>
    </row>
    <row r="6" spans="2:4" ht="31.2">
      <c r="B6" s="124">
        <v>2026</v>
      </c>
      <c r="D6" s="125" t="s">
        <v>84</v>
      </c>
    </row>
    <row r="7" spans="2:4">
      <c r="D7" t="s">
        <v>85</v>
      </c>
    </row>
    <row r="8" spans="2:4">
      <c r="D8" t="s">
        <v>86</v>
      </c>
    </row>
    <row r="10" spans="2:4" ht="31.2">
      <c r="B10" s="124" t="s">
        <v>96</v>
      </c>
      <c r="D10" s="125" t="s">
        <v>88</v>
      </c>
    </row>
    <row r="11" spans="2:4">
      <c r="D11" t="s">
        <v>89</v>
      </c>
    </row>
    <row r="12" spans="2:4">
      <c r="D12" t="s">
        <v>90</v>
      </c>
    </row>
    <row r="16" spans="2:4">
      <c r="C16" s="141">
        <f>$B6</f>
        <v>2026</v>
      </c>
    </row>
    <row r="17" spans="3:3">
      <c r="C17" s="142">
        <f>C$16-1</f>
        <v>2025</v>
      </c>
    </row>
    <row r="18" spans="3:3">
      <c r="C18" s="142">
        <f>C$16-2</f>
        <v>2024</v>
      </c>
    </row>
    <row r="19" spans="3:3">
      <c r="C19" s="142">
        <f>C$16-3</f>
        <v>2023</v>
      </c>
    </row>
    <row r="20" spans="3:3">
      <c r="C20" s="142">
        <f>C$16-4</f>
        <v>2022</v>
      </c>
    </row>
    <row r="21" spans="3:3">
      <c r="C21" s="143">
        <f>C$16-5</f>
        <v>2021</v>
      </c>
    </row>
    <row r="101" spans="3:5">
      <c r="C101">
        <v>1900</v>
      </c>
      <c r="E101" t="s">
        <v>87</v>
      </c>
    </row>
    <row r="102" spans="3:5">
      <c r="C102">
        <v>2024</v>
      </c>
      <c r="E102" t="s">
        <v>91</v>
      </c>
    </row>
    <row r="103" spans="3:5">
      <c r="C103">
        <v>2025</v>
      </c>
      <c r="E103" t="s">
        <v>92</v>
      </c>
    </row>
    <row r="104" spans="3:5">
      <c r="C104">
        <v>2026</v>
      </c>
      <c r="E104" t="s">
        <v>93</v>
      </c>
    </row>
    <row r="105" spans="3:5">
      <c r="C105">
        <v>2027</v>
      </c>
      <c r="E105" t="s">
        <v>94</v>
      </c>
    </row>
    <row r="106" spans="3:5">
      <c r="C106">
        <v>2028</v>
      </c>
      <c r="E106" t="s">
        <v>95</v>
      </c>
    </row>
    <row r="107" spans="3:5">
      <c r="C107">
        <v>2029</v>
      </c>
      <c r="E107" t="s">
        <v>96</v>
      </c>
    </row>
    <row r="108" spans="3:5">
      <c r="C108">
        <v>2030</v>
      </c>
      <c r="E108" t="s">
        <v>97</v>
      </c>
    </row>
    <row r="109" spans="3:5">
      <c r="C109">
        <v>2031</v>
      </c>
      <c r="E109" t="s">
        <v>83</v>
      </c>
    </row>
    <row r="110" spans="3:5">
      <c r="C110">
        <v>2032</v>
      </c>
      <c r="E110" t="s">
        <v>98</v>
      </c>
    </row>
    <row r="111" spans="3:5">
      <c r="C111">
        <v>2033</v>
      </c>
      <c r="E111" t="s">
        <v>99</v>
      </c>
    </row>
    <row r="112" spans="3:5">
      <c r="E112" t="s">
        <v>100</v>
      </c>
    </row>
  </sheetData>
  <dataValidations count="2">
    <dataValidation type="list" allowBlank="1" showInputMessage="1" showErrorMessage="1" sqref="B10" xr:uid="{F5FF87E4-F332-4547-86DC-2550015D916C}">
      <formula1>$E$101:$E$112</formula1>
    </dataValidation>
    <dataValidation type="list" allowBlank="1" showInputMessage="1" showErrorMessage="1" sqref="B6" xr:uid="{E3AC01A6-749D-4946-A388-FF03509C88B3}">
      <formula1>$C$101:$C$111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tabColor rgb="FF002060"/>
  </sheetPr>
  <dimension ref="A1:CO900"/>
  <sheetViews>
    <sheetView showZeros="0" topLeftCell="D1" zoomScaleNormal="100" workbookViewId="0"/>
  </sheetViews>
  <sheetFormatPr defaultColWidth="8.77734375" defaultRowHeight="14.4"/>
  <cols>
    <col min="1" max="1" width="2.6640625" style="4" customWidth="1"/>
    <col min="2" max="2" width="48.6640625" style="4" customWidth="1"/>
    <col min="3" max="3" width="2.77734375" style="4" customWidth="1"/>
    <col min="4" max="4" width="53.44140625" style="4" customWidth="1"/>
    <col min="5" max="5" width="5.6640625" style="4" customWidth="1"/>
    <col min="6" max="6" width="53.44140625" style="4" customWidth="1"/>
    <col min="7" max="7" width="5.6640625" style="4" customWidth="1"/>
    <col min="8" max="8" width="53.44140625" style="4" customWidth="1"/>
    <col min="9" max="9" width="5.6640625" style="4" customWidth="1"/>
    <col min="10" max="10" width="53.44140625" style="4" customWidth="1"/>
    <col min="11" max="23" width="77.6640625" style="4" customWidth="1"/>
    <col min="24" max="24" width="3.6640625" customWidth="1"/>
    <col min="25" max="25" width="8.6640625" style="4" customWidth="1"/>
    <col min="27" max="27" width="30.6640625" customWidth="1"/>
    <col min="36" max="36" width="30.6640625" customWidth="1"/>
    <col min="43" max="43" width="8.6640625" style="4" customWidth="1"/>
    <col min="44" max="44" width="9.109375" style="4"/>
    <col min="45" max="45" width="21.6640625" customWidth="1"/>
    <col min="47" max="47" width="9.109375" customWidth="1"/>
    <col min="52" max="53" width="5.6640625" customWidth="1"/>
    <col min="54" max="54" width="21.6640625" customWidth="1"/>
    <col min="55" max="55" width="8.77734375" customWidth="1"/>
    <col min="56" max="60" width="10.6640625" customWidth="1"/>
    <col min="61" max="61" width="36.109375" customWidth="1"/>
    <col min="62" max="63" width="10.6640625" customWidth="1"/>
    <col min="64" max="64" width="10.44140625" customWidth="1"/>
    <col min="65" max="66" width="10.6640625" customWidth="1"/>
    <col min="67" max="67" width="9.77734375" customWidth="1"/>
    <col min="68" max="68" width="31.77734375" customWidth="1"/>
    <col min="69" max="72" width="10.6640625" customWidth="1"/>
    <col min="73" max="73" width="10.44140625" customWidth="1"/>
    <col min="74" max="74" width="5.6640625" customWidth="1"/>
    <col min="76" max="76" width="15.77734375" style="1" customWidth="1"/>
    <col min="77" max="77" width="9.44140625" customWidth="1"/>
    <col min="78" max="78" width="25.33203125" customWidth="1"/>
    <col min="86" max="86" width="9.44140625" customWidth="1"/>
    <col min="87" max="87" width="25.33203125" customWidth="1"/>
  </cols>
  <sheetData>
    <row r="1" spans="1:76" ht="14.25" customHeight="1">
      <c r="B1" s="7"/>
      <c r="C1" s="6"/>
      <c r="D1" s="6"/>
      <c r="E1" s="6"/>
      <c r="F1" s="6"/>
      <c r="I1" s="6"/>
      <c r="K1" s="7"/>
      <c r="L1" s="7"/>
      <c r="M1" s="7"/>
      <c r="N1" s="7"/>
      <c r="O1" s="7"/>
      <c r="P1" s="7"/>
      <c r="Q1" s="7"/>
      <c r="X1" s="21"/>
      <c r="Y1" s="6"/>
      <c r="Z1" s="8" t="s">
        <v>21</v>
      </c>
      <c r="AA1" s="8" t="s">
        <v>20</v>
      </c>
      <c r="AB1" s="8">
        <f>Date_Control!$C$21</f>
        <v>2021</v>
      </c>
      <c r="AC1" s="8">
        <f>Date_Control!$C$20</f>
        <v>2022</v>
      </c>
      <c r="AD1" s="8">
        <f>Date_Control!$C$19</f>
        <v>2023</v>
      </c>
      <c r="AE1" s="8">
        <f>Date_Control!$C$18</f>
        <v>2024</v>
      </c>
      <c r="AF1" s="8">
        <f>Date_Control!$C$17</f>
        <v>2025</v>
      </c>
      <c r="AG1" s="8">
        <f>Date_Control!$C$16</f>
        <v>2026</v>
      </c>
      <c r="AI1" s="12" t="s">
        <v>21</v>
      </c>
      <c r="AJ1" s="12" t="s">
        <v>20</v>
      </c>
      <c r="AK1" s="12">
        <f>Date_Control!$C$21</f>
        <v>2021</v>
      </c>
      <c r="AL1" s="12">
        <f>Date_Control!$C$20</f>
        <v>2022</v>
      </c>
      <c r="AM1" s="12">
        <f>Date_Control!$C$19</f>
        <v>2023</v>
      </c>
      <c r="AN1" s="12">
        <f>Date_Control!$C$18</f>
        <v>2024</v>
      </c>
      <c r="AO1" s="12">
        <f>Date_Control!$C$17</f>
        <v>2025</v>
      </c>
      <c r="AP1" s="12">
        <f>Date_Control!$C$16</f>
        <v>2026</v>
      </c>
      <c r="AQ1" s="6"/>
      <c r="BX1"/>
    </row>
    <row r="2" spans="1:76" s="10" customFormat="1" ht="19.2" customHeight="1">
      <c r="A2" s="9"/>
      <c r="B2" s="169" t="str">
        <f>Date_Control!$B$4</f>
        <v>JULY 2026</v>
      </c>
      <c r="C2" s="4"/>
      <c r="D2" s="55" t="str">
        <f>IF(Main_Page!$C$10="Click Here to Select District", "No District Selected", $AA$2)</f>
        <v>No District Selected</v>
      </c>
      <c r="E2" s="4"/>
      <c r="F2" s="31" t="str">
        <f>IF(Main_Page!$C$10="Click Here to Select District", "No District Selected", $AA$2)</f>
        <v>No District Selected</v>
      </c>
      <c r="H2" s="56" t="str">
        <f>IF(Main_Page!$C$10="Click Here to Select District", "No District Selected", $AA$2)</f>
        <v>No District Selected</v>
      </c>
      <c r="I2" s="4"/>
      <c r="J2" s="55" t="str">
        <f>IF(Main_Page!$C$10="Click Here to Select District", "No District Selected", $AA$2)</f>
        <v>No District Selected</v>
      </c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37"/>
      <c r="Y2" s="4"/>
      <c r="Z2" s="38" t="str">
        <f t="array" ref="Z2">IFERROR(INDEX(RP1a[Unit],SMALL(IF(RP1a[Unit]=$BD$3,ROW(RP1a[])-MIN(ROW(RP1a[]))+1),AH2)), "")</f>
        <v/>
      </c>
      <c r="AA2" s="39" t="e">
        <f t="array" ref="AA2">INDEX(RP1a[Name],SMALL(IF(RP1a[Unit]=$BD$3,ROW(RP1a[])-MIN(ROW(RP1a[]))+1),AH2))</f>
        <v>#NUM!</v>
      </c>
      <c r="AB2" s="40" t="str">
        <f t="array" ref="AB2">IFERROR(INDEX(RP1a[Column1],SMALL(IF(RP1a[Unit]=$BD$3,ROW(RP1a[])-MIN(ROW(RP1a[]))+1),AH2)), "")</f>
        <v/>
      </c>
      <c r="AC2" s="40" t="str">
        <f t="array" ref="AC2">IFERROR(INDEX(RP1a[Column2],SMALL(IF(RP1a[Unit]=$BD$3,ROW(RP1a[])-MIN(ROW(RP1a[]))+1),AH2)), "")</f>
        <v/>
      </c>
      <c r="AD2" s="40" t="str">
        <f t="array" ref="AD2">IFERROR(INDEX(RP1a[Column3],SMALL(IF(RP1a[Unit]=$BD$3,ROW(RP1a[])-MIN(ROW(RP1a[]))+1),AH2)), "")</f>
        <v/>
      </c>
      <c r="AE2" s="40" t="str">
        <f t="array" ref="AE2">IFERROR(INDEX(RP1a[Column4],SMALL(IF(RP1a[Unit]=$BD$3,ROW(RP1a[])-MIN(ROW(RP1a[]))+1),AH2)), "")</f>
        <v/>
      </c>
      <c r="AF2" s="40" t="str">
        <f t="array" ref="AF2">IFERROR(INDEX(RP1a[Column5],SMALL(IF(RP1a[Unit]=$BD$3,ROW(RP1a[])-MIN(ROW(RP1a[]))+1),AH2)), "")</f>
        <v/>
      </c>
      <c r="AG2" s="40" t="str">
        <f t="array" ref="AG2">IFERROR(INDEX(RP1a[Column6],SMALL(IF(RP1a[Unit]=$BD$3,ROW(RP1a[])-MIN(ROW(RP1a[]))+1),AH2)), "")</f>
        <v/>
      </c>
      <c r="AH2" s="41">
        <v>1</v>
      </c>
      <c r="AI2" s="42" t="str">
        <f t="array" ref="AI2">IFERROR(INDEX(RP1b[Unit],SMALL(IF(RP1b[Unit]=$BD$3,ROW(RP1b[])-MIN(ROW(RP1b[]))+1),AH2)), "")</f>
        <v/>
      </c>
      <c r="AJ2" s="42" t="str">
        <f t="array" ref="AJ2">IFERROR(INDEX(RP1b[Name],SMALL(IF(RP1b[Unit]=$BD$3,ROW(RP1b[])-MIN(ROW(RP1b[]))+1),AH2)), "")</f>
        <v/>
      </c>
      <c r="AK2" s="43" t="str">
        <f t="array" ref="AK2">IFERROR(INDEX(RP1b[Column1],SMALL(IF(RP1b[Unit]=$BD$3,ROW(RP1b[])-MIN(ROW(RP1b[]))+1),AH2)), "")</f>
        <v/>
      </c>
      <c r="AL2" s="43" t="str">
        <f t="array" ref="AL2">IFERROR(INDEX(RP1b[Column2],SMALL(IF(RP1b[Unit]=$BD$3,ROW(RP1b[])-MIN(ROW(RP1b[]))+1),AH2)), "")</f>
        <v/>
      </c>
      <c r="AM2" s="43" t="str">
        <f t="array" ref="AM2">IFERROR(INDEX(RP1b[Column3],SMALL(IF(RP1b[Unit]=$BD$3,ROW(RP1b[])-MIN(ROW(RP1b[]))+1),AH2)), "")</f>
        <v/>
      </c>
      <c r="AN2" s="43" t="str">
        <f t="array" ref="AN2">IFERROR(INDEX(RP1b[Column4],SMALL(IF(RP1b[Unit]=$BD$3,ROW(RP1b[])-MIN(ROW(RP1b[]))+1),AH2)), "")</f>
        <v/>
      </c>
      <c r="AO2" s="43" t="str">
        <f t="array" ref="AO2">IFERROR(INDEX(RP1b[Column5],SMALL(IF(RP1b[Unit]=$BD$3,ROW(RP1b[])-MIN(ROW(RP1b[]))+1),AH2)), "")</f>
        <v/>
      </c>
      <c r="AP2" s="43" t="str">
        <f t="array" ref="AP2">IFERROR(INDEX(RP1b[Column6],SMALL(IF(RP1b[Unit]=$BD$3,ROW(RP1b[])-MIN(ROW(RP1b[]))+1),AH2)), "")</f>
        <v/>
      </c>
      <c r="AQ2" s="4"/>
      <c r="AR2" s="4"/>
      <c r="AS2"/>
      <c r="AT2" s="32">
        <f>Date_Control!$C$21</f>
        <v>2021</v>
      </c>
      <c r="AU2" s="32">
        <f>Date_Control!$C$20</f>
        <v>2022</v>
      </c>
      <c r="AV2" s="32">
        <f>Date_Control!$C$19</f>
        <v>2023</v>
      </c>
      <c r="AW2" s="32">
        <f>Date_Control!$C$18</f>
        <v>2024</v>
      </c>
      <c r="AX2" s="32">
        <f>Date_Control!$C$17</f>
        <v>2025</v>
      </c>
      <c r="AY2" s="32">
        <f>Date_Control!$C$16</f>
        <v>2026</v>
      </c>
      <c r="AZ2"/>
      <c r="BA2"/>
      <c r="BD2" s="44">
        <f>IF($BL1="T", MAX(BD8:BD103), 0)</f>
        <v>0</v>
      </c>
      <c r="BE2" s="44">
        <f>IF($BL1="T", MAX(BE8:BE103), 0)</f>
        <v>0</v>
      </c>
      <c r="BF2" s="44">
        <f t="shared" ref="BF2:BU2" si="0">IF($BL1="T", MAX(BF4:BF103), 0)</f>
        <v>0</v>
      </c>
      <c r="BJ2" s="44">
        <f t="shared" si="0"/>
        <v>0</v>
      </c>
      <c r="BK2" s="44">
        <f t="shared" si="0"/>
        <v>0</v>
      </c>
      <c r="BL2" s="44">
        <f t="shared" si="0"/>
        <v>0</v>
      </c>
      <c r="BM2" s="44">
        <f t="shared" si="0"/>
        <v>0</v>
      </c>
      <c r="BN2" s="44">
        <f t="shared" si="0"/>
        <v>0</v>
      </c>
      <c r="BQ2"/>
      <c r="BR2"/>
      <c r="BS2"/>
      <c r="BT2" s="44">
        <f t="shared" si="0"/>
        <v>0</v>
      </c>
      <c r="BU2" s="44">
        <f t="shared" si="0"/>
        <v>0</v>
      </c>
      <c r="BX2"/>
    </row>
    <row r="3" spans="1:76" ht="14.55" customHeight="1">
      <c r="B3" s="170"/>
      <c r="C3" s="7"/>
      <c r="D3" s="7"/>
      <c r="E3" s="7"/>
      <c r="F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21"/>
      <c r="Y3" s="7"/>
      <c r="Z3" s="38" t="str">
        <f t="array" ref="Z3">IFERROR(INDEX(RP2a[Unit],SMALL(IF(RP2a[Unit]=$BD$3,ROW(RP2a[])-MIN(ROW(RP2a[]))+1),AH3)), "")</f>
        <v/>
      </c>
      <c r="AA3" s="39" t="e">
        <f t="array" ref="AA3">INDEX(RP2a[Name],SMALL(IF(RP2a[Unit]=$BD$3,ROW(RP2a[])-MIN(ROW(RP2a[]))+1),AH3))</f>
        <v>#NUM!</v>
      </c>
      <c r="AB3" s="40" t="str">
        <f t="array" ref="AB3">IFERROR(INDEX(RP2a[Column1],SMALL(IF(RP2a[Unit]=$BD$3,ROW(RP2a[])-MIN(ROW(RP2a[]))+1),AH3)), "")</f>
        <v/>
      </c>
      <c r="AC3" s="40" t="str">
        <f t="array" ref="AC3">IFERROR(INDEX(RP2a[Column2],SMALL(IF(RP2a[Unit]=$BD$3,ROW(RP2a[])-MIN(ROW(RP2a[]))+1),AH3)), "")</f>
        <v/>
      </c>
      <c r="AD3" s="40" t="str">
        <f t="array" ref="AD3">IFERROR(INDEX(RP2a[Column3],SMALL(IF(RP2a[Unit]=$BD$3,ROW(RP2a[])-MIN(ROW(RP2a[]))+1),AH3)), "")</f>
        <v/>
      </c>
      <c r="AE3" s="40" t="str">
        <f t="array" ref="AE3">IFERROR(INDEX(RP2a[Column4],SMALL(IF(RP2a[Unit]=$BD$3,ROW(RP2a[])-MIN(ROW(RP2a[]))+1),AH3)), "")</f>
        <v/>
      </c>
      <c r="AF3" s="40" t="str">
        <f t="array" ref="AF3">IFERROR(INDEX(RP2a[Column5],SMALL(IF(RP2a[Unit]=$BD$3,ROW(RP2a[])-MIN(ROW(RP2a[]))+1),AH3)), "")</f>
        <v/>
      </c>
      <c r="AG3" s="40" t="str">
        <f t="array" ref="AG3">IFERROR(INDEX(RP2a[Column6],SMALL(IF(RP2a[Unit]=$BD$3,ROW(RP2a[])-MIN(ROW(RP2a[]))+1),AH3)), "")</f>
        <v/>
      </c>
      <c r="AH3" s="41">
        <v>1</v>
      </c>
      <c r="AI3" s="42" t="str">
        <f t="array" ref="AI3">IFERROR(INDEX(RP2b[Unit],SMALL(IF(RP2b[Unit]=$BD$3,ROW(RP2b[])-MIN(ROW(RP2b[]))+1),AH3)), "")</f>
        <v/>
      </c>
      <c r="AJ3" s="42" t="str">
        <f t="array" ref="AJ3">IFERROR(INDEX(RP2b[Name],SMALL(IF(RP2b[Unit]=$BD$3,ROW(RP2b[])-MIN(ROW(RP2b[]))+1),AH3)), "")</f>
        <v/>
      </c>
      <c r="AK3" s="43" t="str">
        <f t="array" ref="AK3">IFERROR(INDEX(RP2b[Column1],SMALL(IF(RP2b[Unit]=$BD$3,ROW(RP2b[])-MIN(ROW(RP2b[]))+1),AH3)), "")</f>
        <v/>
      </c>
      <c r="AL3" s="43" t="str">
        <f t="array" ref="AL3">IFERROR(INDEX(RP2b[Column2],SMALL(IF(RP2b[Unit]=$BD$3,ROW(RP2b[])-MIN(ROW(RP2b[]))+1),AH3)), "")</f>
        <v/>
      </c>
      <c r="AM3" s="43" t="str">
        <f t="array" ref="AM3">IFERROR(INDEX(RP2b[Column3],SMALL(IF(RP2b[Unit]=$BD$3,ROW(RP2b[])-MIN(ROW(RP2b[]))+1),AH3)), "")</f>
        <v/>
      </c>
      <c r="AN3" s="43" t="str">
        <f t="array" ref="AN3">IFERROR(INDEX(RP2b[Column4],SMALL(IF(RP2b[Unit]=$BD$3,ROW(RP2b[])-MIN(ROW(RP2b[]))+1),AH3)), "")</f>
        <v/>
      </c>
      <c r="AO3" s="43" t="str">
        <f t="array" ref="AO3">IFERROR(INDEX(RP2b[Column5],SMALL(IF(RP2b[Unit]=$BD$3,ROW(RP2b[])-MIN(ROW(RP2b[]))+1),AH3)), "")</f>
        <v/>
      </c>
      <c r="AP3" s="43" t="str">
        <f t="array" ref="AP3">IFERROR(INDEX(RP2b[Column6],SMALL(IF(RP2b[Unit]=$BD$3,ROW(RP2b[])-MIN(ROW(RP2b[]))+1),AH3)), "")</f>
        <v/>
      </c>
      <c r="AQ3" s="7"/>
      <c r="AR3" t="s">
        <v>32</v>
      </c>
      <c r="AS3" s="59" t="s">
        <v>16</v>
      </c>
      <c r="AT3" s="17" t="str">
        <f t="shared" ref="AT3:AY3" si="1">AB2</f>
        <v/>
      </c>
      <c r="AU3" s="17" t="str">
        <f t="shared" si="1"/>
        <v/>
      </c>
      <c r="AV3" s="17" t="str">
        <f t="shared" si="1"/>
        <v/>
      </c>
      <c r="AW3" s="17" t="str">
        <f t="shared" si="1"/>
        <v/>
      </c>
      <c r="AX3" s="17" t="str">
        <f t="shared" si="1"/>
        <v/>
      </c>
      <c r="AY3" s="17" t="str">
        <f t="shared" si="1"/>
        <v/>
      </c>
      <c r="BB3" s="161" t="s">
        <v>47</v>
      </c>
      <c r="BC3" s="164"/>
      <c r="BD3" s="162" t="str">
        <f>LEFT(Main_Page!$C$10,3)</f>
        <v>Cli</v>
      </c>
      <c r="BX3"/>
    </row>
    <row r="4" spans="1:76" ht="14.55" customHeight="1">
      <c r="X4" s="21"/>
      <c r="Z4" s="38" t="str">
        <f t="array" ref="Z4">IFERROR(INDEX(RP3a[Unit],SMALL(IF(RP3a[Unit]=$BD$3,ROW(RP3a[])-MIN(ROW(RP3a[]))+1),AH4)), "")</f>
        <v/>
      </c>
      <c r="AA4" s="39" t="e">
        <f t="array" ref="AA4">INDEX(RP3a[Name],SMALL(IF(RP3a[Unit]=$BD$3,ROW(RP3a[])-MIN(ROW(RP3a[]))+1),AH4))</f>
        <v>#NUM!</v>
      </c>
      <c r="AB4" s="40" t="str">
        <f t="array" ref="AB4">IFERROR(INDEX(RP3a[Column1],SMALL(IF(RP3a[Unit]=$BD$3,ROW(RP3a[])-MIN(ROW(RP3a[]))+1),AH4)), "")</f>
        <v/>
      </c>
      <c r="AC4" s="40" t="str">
        <f t="array" ref="AC4">IFERROR(INDEX(RP3a[Column2],SMALL(IF(RP3a[Unit]=$BD$3,ROW(RP3a[])-MIN(ROW(RP3a[]))+1),AH4)), "")</f>
        <v/>
      </c>
      <c r="AD4" s="40" t="str">
        <f t="array" ref="AD4">IFERROR(INDEX(RP3a[Column3],SMALL(IF(RP3a[Unit]=$BD$3,ROW(RP3a[])-MIN(ROW(RP3a[]))+1),AH4)), "")</f>
        <v/>
      </c>
      <c r="AE4" s="40" t="str">
        <f t="array" ref="AE4">IFERROR(INDEX(RP3a[Column4],SMALL(IF(RP3a[Unit]=$BD$3,ROW(RP3a[])-MIN(ROW(RP3a[]))+1),AH4)), "")</f>
        <v/>
      </c>
      <c r="AF4" s="40" t="str">
        <f t="array" ref="AF4">IFERROR(INDEX(RP3a[Column5],SMALL(IF(RP3a[Unit]=$BD$3,ROW(RP3a[])-MIN(ROW(RP3a[]))+1),AH4)), "")</f>
        <v/>
      </c>
      <c r="AG4" s="40" t="str">
        <f t="array" ref="AG4">IFERROR(INDEX(RP3a[Column6],SMALL(IF(RP3a[Unit]=$BD$3,ROW(RP3a[])-MIN(ROW(RP3a[]))+1),AH4)), "")</f>
        <v/>
      </c>
      <c r="AH4" s="41">
        <v>1</v>
      </c>
      <c r="AI4" s="42" t="str">
        <f t="array" ref="AI4">IFERROR(INDEX(RP3b[Unit],SMALL(IF(RP3b[Unit]=$BD$3,ROW(RP3b[])-MIN(ROW(RP3b[]))+1),AH4)), "")</f>
        <v/>
      </c>
      <c r="AJ4" s="42" t="str">
        <f t="array" ref="AJ4">IFERROR(INDEX(RP3b[Name],SMALL(IF(RP3b[Unit]=$BD$3,ROW(RP3b[])-MIN(ROW(RP3b[]))+1),AH4)), "")</f>
        <v/>
      </c>
      <c r="AK4" s="43" t="str">
        <f t="array" ref="AK4">IFERROR(INDEX(RP3b[Column1],SMALL(IF(RP3b[Unit]=$BD$3,ROW(RP3b[])-MIN(ROW(RP3b[]))+1),AH4)), "")</f>
        <v/>
      </c>
      <c r="AL4" s="43" t="str">
        <f t="array" ref="AL4">IFERROR(INDEX(RP3b[Column2],SMALL(IF(RP3b[Unit]=$BD$3,ROW(RP3b[])-MIN(ROW(RP3b[]))+1),AH4)), "")</f>
        <v/>
      </c>
      <c r="AM4" s="43" t="str">
        <f t="array" ref="AM4">IFERROR(INDEX(RP3b[Column3],SMALL(IF(RP3b[Unit]=$BD$3,ROW(RP3b[])-MIN(ROW(RP3b[]))+1),AH4)), "")</f>
        <v/>
      </c>
      <c r="AN4" s="43" t="str">
        <f t="array" ref="AN4">IFERROR(INDEX(RP3b[Column4],SMALL(IF(RP3b[Unit]=$BD$3,ROW(RP3b[])-MIN(ROW(RP3b[]))+1),AH4)), "")</f>
        <v/>
      </c>
      <c r="AO4" s="43" t="str">
        <f t="array" ref="AO4">IFERROR(INDEX(RP3b[Column5],SMALL(IF(RP3b[Unit]=$BD$3,ROW(RP3b[])-MIN(ROW(RP3b[]))+1),AH4)), "")</f>
        <v/>
      </c>
      <c r="AP4" s="43" t="str">
        <f t="array" ref="AP4">IFERROR(INDEX(RP3b[Column6],SMALL(IF(RP3b[Unit]=$BD$3,ROW(RP3b[])-MIN(ROW(RP3b[]))+1),AH4)), "")</f>
        <v/>
      </c>
      <c r="AS4" s="59" t="s">
        <v>17</v>
      </c>
      <c r="AT4" s="17" t="str">
        <f t="shared" ref="AT4:AY4" si="2">AK2</f>
        <v/>
      </c>
      <c r="AU4" s="17" t="str">
        <f t="shared" si="2"/>
        <v/>
      </c>
      <c r="AV4" s="17" t="str">
        <f t="shared" si="2"/>
        <v/>
      </c>
      <c r="AW4" s="17" t="str">
        <f t="shared" si="2"/>
        <v/>
      </c>
      <c r="AX4" s="17" t="str">
        <f t="shared" si="2"/>
        <v/>
      </c>
      <c r="AY4" s="17" t="str">
        <f t="shared" si="2"/>
        <v/>
      </c>
      <c r="BB4" s="161"/>
      <c r="BC4" s="164"/>
      <c r="BD4" s="163"/>
      <c r="BX4"/>
    </row>
    <row r="5" spans="1:76" ht="14.55" customHeight="1">
      <c r="B5" s="53" t="s">
        <v>78</v>
      </c>
      <c r="X5" s="21"/>
      <c r="Z5" s="38" t="str">
        <f t="array" ref="Z5">IFERROR(INDEX(RP4a[Unit],SMALL(IF(RP4a[Unit]=$BD$3,ROW(RP4a[])-MIN(ROW(RP4a[]))+1),AH5)), "")</f>
        <v/>
      </c>
      <c r="AA5" s="39" t="e">
        <f t="array" ref="AA5">INDEX(RP4a[Name],SMALL(IF(RP4a[Unit]=$BD$3,ROW(RP4a[])-MIN(ROW(RP4a[]))+1),AH5))</f>
        <v>#NUM!</v>
      </c>
      <c r="AB5" s="40" t="str">
        <f t="array" ref="AB5">IFERROR(INDEX(RP4a[Column1],SMALL(IF(RP4a[Unit]=$BD$3,ROW(RP4a[])-MIN(ROW(RP4a[]))+1),AH5)), "")</f>
        <v/>
      </c>
      <c r="AC5" s="40" t="str">
        <f t="array" ref="AC5">IFERROR(INDEX(RP4a[Column2],SMALL(IF(RP4a[Unit]=$BD$3,ROW(RP4a[])-MIN(ROW(RP4a[]))+1),AH5)), "")</f>
        <v/>
      </c>
      <c r="AD5" s="40" t="str">
        <f t="array" ref="AD5">IFERROR(INDEX(RP4a[Column3],SMALL(IF(RP4a[Unit]=$BD$3,ROW(RP4a[])-MIN(ROW(RP4a[]))+1),AH5)), "")</f>
        <v/>
      </c>
      <c r="AE5" s="40" t="str">
        <f t="array" ref="AE5">IFERROR(INDEX(RP4a[Column4],SMALL(IF(RP4a[Unit]=$BD$3,ROW(RP4a[])-MIN(ROW(RP4a[]))+1),AH5)), "")</f>
        <v/>
      </c>
      <c r="AF5" s="40" t="str">
        <f t="array" ref="AF5">IFERROR(INDEX(RP4a[Column5],SMALL(IF(RP4a[Unit]=$BD$3,ROW(RP4a[])-MIN(ROW(RP4a[]))+1),AH5)), "")</f>
        <v/>
      </c>
      <c r="AG5" s="40" t="str">
        <f t="array" ref="AG5">IFERROR(INDEX(RP4a[Column6],SMALL(IF(RP4a[Unit]=$BD$3,ROW(RP4a[])-MIN(ROW(RP4a[]))+1),AH5)), "")</f>
        <v/>
      </c>
      <c r="AH5" s="41">
        <v>1</v>
      </c>
      <c r="AI5" s="42" t="str">
        <f t="array" ref="AI5">IFERROR(INDEX(RP4b[Unit],SMALL(IF(RP4b[Unit]=$BD$3,ROW(RP4b[])-MIN(ROW(RP4b[]))+1),AH5)), "")</f>
        <v/>
      </c>
      <c r="AJ5" s="42" t="str">
        <f t="array" ref="AJ5">IFERROR(INDEX(RP4b[Name],SMALL(IF(RP4b[Unit]=$BD$3,ROW(RP4b[])-MIN(ROW(RP4b[]))+1),AH5)), "")</f>
        <v/>
      </c>
      <c r="AK5" s="43" t="str">
        <f t="array" ref="AK5">IFERROR(INDEX(RP4b[Column1],SMALL(IF(RP4b[Unit]=$BD$3,ROW(RP4b[])-MIN(ROW(RP4b[]))+1),AH5)), "")</f>
        <v/>
      </c>
      <c r="AL5" s="43" t="str">
        <f t="array" ref="AL5">IFERROR(INDEX(RP4b[Column2],SMALL(IF(RP4b[Unit]=$BD$3,ROW(RP4b[])-MIN(ROW(RP4b[]))+1),AH5)), "")</f>
        <v/>
      </c>
      <c r="AM5" s="43" t="str">
        <f t="array" ref="AM5">IFERROR(INDEX(RP4b[Column3],SMALL(IF(RP4b[Unit]=$BD$3,ROW(RP4b[])-MIN(ROW(RP4b[]))+1),AH5)), "")</f>
        <v/>
      </c>
      <c r="AN5" s="43" t="str">
        <f t="array" ref="AN5">IFERROR(INDEX(RP4b[Column4],SMALL(IF(RP4b[Unit]=$BD$3,ROW(RP4b[])-MIN(ROW(RP4b[]))+1),AH5)), "")</f>
        <v/>
      </c>
      <c r="AO5" s="43" t="str">
        <f t="array" ref="AO5">IFERROR(INDEX(RP4b[Column5],SMALL(IF(RP4b[Unit]=$BD$3,ROW(RP4b[])-MIN(ROW(RP4b[]))+1),AH5)), "")</f>
        <v/>
      </c>
      <c r="AP5" s="43" t="str">
        <f t="array" ref="AP5">IFERROR(INDEX(RP4b[Column6],SMALL(IF(RP4b[Unit]=$BD$3,ROW(RP4b[])-MIN(ROW(RP4b[]))+1),AH5)), "")</f>
        <v/>
      </c>
      <c r="AS5" s="59"/>
      <c r="AT5" s="32">
        <f>Date_Control!$C$21</f>
        <v>2021</v>
      </c>
      <c r="AU5" s="32">
        <f>Date_Control!$C$20</f>
        <v>2022</v>
      </c>
      <c r="AV5" s="32">
        <f>Date_Control!$C$19</f>
        <v>2023</v>
      </c>
      <c r="AW5" s="32">
        <f>Date_Control!$C$18</f>
        <v>2024</v>
      </c>
      <c r="AX5" s="32">
        <f>Date_Control!$C$17</f>
        <v>2025</v>
      </c>
      <c r="AY5" s="32">
        <f>Date_Control!$C$16</f>
        <v>2026</v>
      </c>
      <c r="BX5"/>
    </row>
    <row r="6" spans="1:76" ht="14.55" customHeight="1">
      <c r="B6" s="53" t="s">
        <v>79</v>
      </c>
      <c r="X6" s="21"/>
      <c r="AR6" t="s">
        <v>33</v>
      </c>
      <c r="AS6" s="59" t="s">
        <v>16</v>
      </c>
      <c r="AT6" s="17" t="str">
        <f t="shared" ref="AT6:AY6" si="3">AB3</f>
        <v/>
      </c>
      <c r="AU6" s="17" t="str">
        <f t="shared" si="3"/>
        <v/>
      </c>
      <c r="AV6" s="17" t="str">
        <f t="shared" si="3"/>
        <v/>
      </c>
      <c r="AW6" s="17" t="str">
        <f t="shared" si="3"/>
        <v/>
      </c>
      <c r="AX6" s="17" t="str">
        <f t="shared" si="3"/>
        <v/>
      </c>
      <c r="AY6" s="17" t="str">
        <f t="shared" si="3"/>
        <v/>
      </c>
      <c r="BX6"/>
    </row>
    <row r="7" spans="1:76" ht="14.55" customHeight="1">
      <c r="B7" s="53" t="s">
        <v>80</v>
      </c>
      <c r="X7" s="21"/>
      <c r="AS7" s="59" t="s">
        <v>17</v>
      </c>
      <c r="AT7" s="17" t="str">
        <f t="shared" ref="AT7:AY7" si="4">AK3</f>
        <v/>
      </c>
      <c r="AU7" s="17" t="str">
        <f t="shared" si="4"/>
        <v/>
      </c>
      <c r="AV7" s="17" t="str">
        <f t="shared" si="4"/>
        <v/>
      </c>
      <c r="AW7" s="17" t="str">
        <f t="shared" si="4"/>
        <v/>
      </c>
      <c r="AX7" s="17" t="str">
        <f t="shared" si="4"/>
        <v/>
      </c>
      <c r="AY7" s="17" t="str">
        <f t="shared" si="4"/>
        <v/>
      </c>
      <c r="BX7"/>
    </row>
    <row r="8" spans="1:76" ht="14.55" customHeight="1">
      <c r="B8" s="53"/>
      <c r="X8" s="21"/>
      <c r="AS8" s="59"/>
      <c r="AT8" s="32">
        <f>Date_Control!$C$21</f>
        <v>2021</v>
      </c>
      <c r="AU8" s="32">
        <f>Date_Control!$C$20</f>
        <v>2022</v>
      </c>
      <c r="AV8" s="32">
        <f>Date_Control!$C$19</f>
        <v>2023</v>
      </c>
      <c r="AW8" s="32">
        <f>Date_Control!$C$18</f>
        <v>2024</v>
      </c>
      <c r="AX8" s="32">
        <f>Date_Control!$C$17</f>
        <v>2025</v>
      </c>
      <c r="AY8" s="32">
        <f>Date_Control!$C$16</f>
        <v>2026</v>
      </c>
      <c r="BX8"/>
    </row>
    <row r="9" spans="1:76" ht="14.55" customHeight="1">
      <c r="B9" s="53" t="s">
        <v>19</v>
      </c>
      <c r="X9" s="21"/>
      <c r="AR9" t="s">
        <v>34</v>
      </c>
      <c r="AS9" s="59" t="s">
        <v>16</v>
      </c>
      <c r="AT9" s="17" t="str">
        <f>AB4</f>
        <v/>
      </c>
      <c r="AU9" s="17" t="str">
        <f t="shared" ref="AU9:AY9" si="5">AC4</f>
        <v/>
      </c>
      <c r="AV9" s="17" t="str">
        <f t="shared" si="5"/>
        <v/>
      </c>
      <c r="AW9" s="17" t="str">
        <f t="shared" si="5"/>
        <v/>
      </c>
      <c r="AX9" s="17" t="str">
        <f t="shared" si="5"/>
        <v/>
      </c>
      <c r="AY9" s="17" t="str">
        <f t="shared" si="5"/>
        <v/>
      </c>
      <c r="BX9"/>
    </row>
    <row r="10" spans="1:76" ht="14.55" customHeight="1">
      <c r="X10" s="21"/>
      <c r="AS10" s="59" t="s">
        <v>17</v>
      </c>
      <c r="AT10" s="17" t="str">
        <f>AK4</f>
        <v/>
      </c>
      <c r="AU10" s="17" t="str">
        <f t="shared" ref="AU10:AY10" si="6">AL4</f>
        <v/>
      </c>
      <c r="AV10" s="17" t="str">
        <f t="shared" si="6"/>
        <v/>
      </c>
      <c r="AW10" s="17" t="str">
        <f t="shared" si="6"/>
        <v/>
      </c>
      <c r="AX10" s="17" t="str">
        <f t="shared" si="6"/>
        <v/>
      </c>
      <c r="AY10" s="17" t="str">
        <f t="shared" si="6"/>
        <v/>
      </c>
      <c r="BX10"/>
    </row>
    <row r="11" spans="1:76" ht="15.45" customHeight="1">
      <c r="B11" s="53" t="s">
        <v>23</v>
      </c>
      <c r="X11" s="21"/>
      <c r="AS11" s="59"/>
      <c r="AT11" s="32">
        <f>Date_Control!$C$21</f>
        <v>2021</v>
      </c>
      <c r="AU11" s="32">
        <f>Date_Control!$C$20</f>
        <v>2022</v>
      </c>
      <c r="AV11" s="32">
        <f>Date_Control!$C$19</f>
        <v>2023</v>
      </c>
      <c r="AW11" s="32">
        <f>Date_Control!$C$18</f>
        <v>2024</v>
      </c>
      <c r="AX11" s="32">
        <f>Date_Control!$C$17</f>
        <v>2025</v>
      </c>
      <c r="AY11" s="32">
        <f>Date_Control!$C$16</f>
        <v>2026</v>
      </c>
      <c r="BX11"/>
    </row>
    <row r="12" spans="1:76" ht="14.55" customHeight="1">
      <c r="X12" s="21"/>
      <c r="AR12" t="s">
        <v>35</v>
      </c>
      <c r="AS12" s="59" t="s">
        <v>16</v>
      </c>
      <c r="AT12" s="17" t="str">
        <f>AB5</f>
        <v/>
      </c>
      <c r="AU12" s="17" t="str">
        <f t="shared" ref="AU12:AY12" si="7">AC5</f>
        <v/>
      </c>
      <c r="AV12" s="17" t="str">
        <f t="shared" si="7"/>
        <v/>
      </c>
      <c r="AW12" s="17" t="str">
        <f t="shared" si="7"/>
        <v/>
      </c>
      <c r="AX12" s="17" t="str">
        <f t="shared" si="7"/>
        <v/>
      </c>
      <c r="AY12" s="17" t="str">
        <f t="shared" si="7"/>
        <v/>
      </c>
      <c r="BX12"/>
    </row>
    <row r="13" spans="1:76" ht="14.55" customHeight="1">
      <c r="X13" s="21"/>
      <c r="AS13" s="59" t="s">
        <v>17</v>
      </c>
      <c r="AT13" s="17" t="str">
        <f>AK5</f>
        <v/>
      </c>
      <c r="AU13" s="17" t="str">
        <f t="shared" ref="AU13:AY13" si="8">AL5</f>
        <v/>
      </c>
      <c r="AV13" s="17" t="str">
        <f t="shared" si="8"/>
        <v/>
      </c>
      <c r="AW13" s="17" t="str">
        <f t="shared" si="8"/>
        <v/>
      </c>
      <c r="AX13" s="17" t="str">
        <f t="shared" si="8"/>
        <v/>
      </c>
      <c r="AY13" s="17" t="str">
        <f t="shared" si="8"/>
        <v/>
      </c>
      <c r="BX13"/>
    </row>
    <row r="14" spans="1:76" ht="14.55" customHeight="1">
      <c r="B14" s="165" t="str">
        <f>IF(Main_Page!C10="Click here to select district", "SELECT DISTRICT ON MAIN PAGE", "")</f>
        <v>SELECT DISTRICT ON MAIN PAGE</v>
      </c>
      <c r="C14" s="166"/>
      <c r="X14" s="21"/>
      <c r="AR14"/>
      <c r="AS14" s="59"/>
      <c r="BX14"/>
    </row>
    <row r="15" spans="1:76" ht="14.55" customHeight="1">
      <c r="B15" s="167"/>
      <c r="C15" s="168"/>
      <c r="X15" s="21"/>
      <c r="Z15" s="161" t="s">
        <v>36</v>
      </c>
      <c r="AA15" s="159" t="s">
        <v>24</v>
      </c>
      <c r="AR15"/>
      <c r="BX15"/>
    </row>
    <row r="16" spans="1:76" ht="14.55" customHeight="1">
      <c r="X16" s="21"/>
      <c r="Z16" s="161"/>
      <c r="AA16" s="160"/>
      <c r="AR16"/>
      <c r="BX16"/>
    </row>
    <row r="17" spans="1:76" ht="14.55" customHeight="1">
      <c r="X17" s="21"/>
      <c r="Z17" s="58"/>
      <c r="AR17"/>
      <c r="BX17"/>
    </row>
    <row r="18" spans="1:76" ht="14.55" customHeight="1">
      <c r="X18" s="21"/>
      <c r="Z18" s="161" t="s">
        <v>38</v>
      </c>
      <c r="AA18" s="159" t="s">
        <v>37</v>
      </c>
      <c r="AD18" t="s">
        <v>31</v>
      </c>
      <c r="AR18"/>
      <c r="BX18"/>
    </row>
    <row r="19" spans="1:76" ht="14.55" customHeight="1">
      <c r="X19" s="21"/>
      <c r="Z19" s="161"/>
      <c r="AA19" s="160"/>
      <c r="AR19"/>
      <c r="BX19"/>
    </row>
    <row r="20" spans="1:76" ht="14.55" customHeight="1">
      <c r="X20" s="37"/>
      <c r="Z20" s="58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R20"/>
      <c r="AZ20" s="10"/>
      <c r="BA20" s="10"/>
      <c r="BV20" s="10"/>
      <c r="BX20"/>
    </row>
    <row r="21" spans="1:76" ht="14.55" customHeight="1">
      <c r="X21" s="21"/>
      <c r="Z21" s="161" t="s">
        <v>43</v>
      </c>
      <c r="AA21" s="159" t="s">
        <v>46</v>
      </c>
      <c r="AR21" s="30" t="s">
        <v>21</v>
      </c>
      <c r="AS21" s="30" t="s">
        <v>20</v>
      </c>
      <c r="AT21" s="30" t="s">
        <v>30</v>
      </c>
      <c r="AU21" s="30" t="s">
        <v>22</v>
      </c>
      <c r="AV21" s="30" t="s">
        <v>39</v>
      </c>
      <c r="AW21" s="30" t="s">
        <v>40</v>
      </c>
      <c r="AX21" s="30" t="s">
        <v>41</v>
      </c>
      <c r="AY21" s="30" t="s">
        <v>42</v>
      </c>
      <c r="BA21" s="12" t="s">
        <v>21</v>
      </c>
      <c r="BB21" s="12" t="s">
        <v>20</v>
      </c>
      <c r="BC21" s="12" t="s">
        <v>30</v>
      </c>
      <c r="BD21" s="12" t="s">
        <v>22</v>
      </c>
      <c r="BE21" s="12" t="s">
        <v>39</v>
      </c>
      <c r="BF21" s="12" t="s">
        <v>40</v>
      </c>
      <c r="BG21" s="12" t="s">
        <v>41</v>
      </c>
      <c r="BH21" s="12" t="s">
        <v>42</v>
      </c>
      <c r="BX21"/>
    </row>
    <row r="22" spans="1:76" ht="14.55" customHeight="1">
      <c r="B22" s="53"/>
      <c r="X22" s="21"/>
      <c r="Z22" s="161"/>
      <c r="AA22" s="160"/>
      <c r="AR22" s="30" t="s">
        <v>0</v>
      </c>
      <c r="AS22" s="30" t="s">
        <v>131</v>
      </c>
      <c r="AT22" s="57">
        <f>RP_Data!D2</f>
        <v>1926.2</v>
      </c>
      <c r="AU22" s="57">
        <f>RP_Data!E2</f>
        <v>1946.83</v>
      </c>
      <c r="AV22" s="57">
        <f>RP_Data!F2</f>
        <v>2114.1000000000004</v>
      </c>
      <c r="AW22" s="57">
        <f>RP_Data!G2</f>
        <v>2049.65</v>
      </c>
      <c r="AX22" s="57">
        <f>RP_Data!H2</f>
        <v>1694.0700000000002</v>
      </c>
      <c r="AY22" s="57">
        <f>RP_Data!I2</f>
        <v>478.01</v>
      </c>
      <c r="BA22" s="15" t="s">
        <v>0</v>
      </c>
      <c r="BB22" s="15" t="s">
        <v>131</v>
      </c>
      <c r="BC22" s="36">
        <f>RP_Data!M2</f>
        <v>361.44</v>
      </c>
      <c r="BD22" s="36">
        <f>RP_Data!N2</f>
        <v>457.5200000000001</v>
      </c>
      <c r="BE22" s="36">
        <f>RP_Data!O2</f>
        <v>562.74</v>
      </c>
      <c r="BF22" s="36">
        <f>RP_Data!P2</f>
        <v>573.28</v>
      </c>
      <c r="BG22" s="36">
        <f>RP_Data!Q2</f>
        <v>420.5</v>
      </c>
      <c r="BH22" s="36">
        <f>RP_Data!R2</f>
        <v>478.01</v>
      </c>
      <c r="BX22"/>
    </row>
    <row r="23" spans="1:76" ht="14.55" customHeight="1">
      <c r="B23" s="53"/>
      <c r="X23" s="21"/>
      <c r="Z23" s="58"/>
      <c r="AR23" s="30" t="s">
        <v>1</v>
      </c>
      <c r="AS23" s="30" t="s">
        <v>130</v>
      </c>
      <c r="AT23" s="57">
        <f>RP_Data!D3</f>
        <v>3371.1099999999997</v>
      </c>
      <c r="AU23" s="57">
        <f>RP_Data!E3</f>
        <v>3490.9100000000003</v>
      </c>
      <c r="AV23" s="57">
        <f>RP_Data!F3</f>
        <v>3560.7099999999996</v>
      </c>
      <c r="AW23" s="57">
        <f>RP_Data!G3</f>
        <v>3098.33</v>
      </c>
      <c r="AX23" s="57">
        <f>RP_Data!H3</f>
        <v>2115.65</v>
      </c>
      <c r="AY23" s="57">
        <f>RP_Data!I3</f>
        <v>391.07</v>
      </c>
      <c r="BA23" s="15" t="s">
        <v>1</v>
      </c>
      <c r="BB23" s="15" t="s">
        <v>130</v>
      </c>
      <c r="BC23" s="36">
        <f>RP_Data!M3</f>
        <v>716.91000000000008</v>
      </c>
      <c r="BD23" s="36">
        <f>RP_Data!N3</f>
        <v>877.85</v>
      </c>
      <c r="BE23" s="36">
        <f>RP_Data!O3</f>
        <v>1025.78</v>
      </c>
      <c r="BF23" s="36">
        <f>RP_Data!P3</f>
        <v>867.1400000000001</v>
      </c>
      <c r="BG23" s="36">
        <f>RP_Data!Q3</f>
        <v>490.20000000000005</v>
      </c>
      <c r="BH23" s="36">
        <f>RP_Data!R3</f>
        <v>391.07</v>
      </c>
      <c r="BX23"/>
    </row>
    <row r="24" spans="1:76" ht="14.55" customHeight="1">
      <c r="B24" s="53"/>
      <c r="X24" s="21"/>
      <c r="Z24" s="161" t="s">
        <v>44</v>
      </c>
      <c r="AA24" s="159" t="s">
        <v>45</v>
      </c>
      <c r="AR24" s="30" t="s">
        <v>2</v>
      </c>
      <c r="AS24" s="30" t="s">
        <v>132</v>
      </c>
      <c r="AT24" s="57">
        <f>RP_Data!D4</f>
        <v>1563.7500000000002</v>
      </c>
      <c r="AU24" s="57">
        <f>RP_Data!E4</f>
        <v>1674.3000000000004</v>
      </c>
      <c r="AV24" s="57">
        <f>RP_Data!F4</f>
        <v>1604.2400000000002</v>
      </c>
      <c r="AW24" s="57">
        <f>RP_Data!G4</f>
        <v>1595.62</v>
      </c>
      <c r="AX24" s="57">
        <f>RP_Data!H4</f>
        <v>1461.21</v>
      </c>
      <c r="AY24" s="57">
        <f>RP_Data!I4</f>
        <v>336.53999999999996</v>
      </c>
      <c r="BA24" s="15" t="s">
        <v>2</v>
      </c>
      <c r="BB24" s="15" t="s">
        <v>132</v>
      </c>
      <c r="BC24" s="36">
        <f>RP_Data!M4</f>
        <v>365.65</v>
      </c>
      <c r="BD24" s="36">
        <f>RP_Data!N4</f>
        <v>461.06</v>
      </c>
      <c r="BE24" s="36">
        <f>RP_Data!O4</f>
        <v>458.28000000000003</v>
      </c>
      <c r="BF24" s="36">
        <f>RP_Data!P4</f>
        <v>476.02</v>
      </c>
      <c r="BG24" s="36">
        <f>RP_Data!Q4</f>
        <v>420.86</v>
      </c>
      <c r="BH24" s="36">
        <f>RP_Data!R4</f>
        <v>336.53999999999996</v>
      </c>
      <c r="BX24"/>
    </row>
    <row r="25" spans="1:76" ht="14.55" customHeight="1">
      <c r="B25" s="53"/>
      <c r="J25" s="111"/>
      <c r="X25" s="21"/>
      <c r="Z25" s="161"/>
      <c r="AA25" s="160"/>
      <c r="AR25" s="30" t="s">
        <v>3</v>
      </c>
      <c r="AS25" s="30" t="s">
        <v>133</v>
      </c>
      <c r="AT25" s="57">
        <f>RP_Data!D5</f>
        <v>4246.5300000000007</v>
      </c>
      <c r="AU25" s="57">
        <f>RP_Data!E5</f>
        <v>4428.8500000000004</v>
      </c>
      <c r="AV25" s="57">
        <f>RP_Data!F5</f>
        <v>3813.41</v>
      </c>
      <c r="AW25" s="57">
        <f>RP_Data!G5</f>
        <v>3722.86</v>
      </c>
      <c r="AX25" s="57">
        <f>RP_Data!H5</f>
        <v>2970.6300000000006</v>
      </c>
      <c r="AY25" s="57">
        <f>RP_Data!I5</f>
        <v>785.20999999999992</v>
      </c>
      <c r="BA25" s="15" t="s">
        <v>3</v>
      </c>
      <c r="BB25" s="15" t="s">
        <v>133</v>
      </c>
      <c r="BC25" s="36">
        <f>RP_Data!M5</f>
        <v>1647.1499999999999</v>
      </c>
      <c r="BD25" s="36">
        <f>RP_Data!N5</f>
        <v>1791.8500000000001</v>
      </c>
      <c r="BE25" s="36">
        <f>RP_Data!O5</f>
        <v>1572.24</v>
      </c>
      <c r="BF25" s="36">
        <f>RP_Data!P5</f>
        <v>1501.75</v>
      </c>
      <c r="BG25" s="36">
        <f>RP_Data!Q5</f>
        <v>1532.22</v>
      </c>
      <c r="BH25" s="36">
        <f>RP_Data!R5</f>
        <v>785.20999999999992</v>
      </c>
      <c r="BX25"/>
    </row>
    <row r="26" spans="1:76" ht="14.55" customHeight="1">
      <c r="B26" s="53"/>
      <c r="X26" s="21"/>
      <c r="AR26" s="30" t="s">
        <v>4</v>
      </c>
      <c r="AS26" s="30" t="s">
        <v>134</v>
      </c>
      <c r="AT26" s="57">
        <f>RP_Data!D6</f>
        <v>4844.6099999999997</v>
      </c>
      <c r="AU26" s="57">
        <f>RP_Data!E6</f>
        <v>4158.6099999999988</v>
      </c>
      <c r="AV26" s="57">
        <f>RP_Data!F6</f>
        <v>4508.3100000000004</v>
      </c>
      <c r="AW26" s="57">
        <f>RP_Data!G6</f>
        <v>4558.43</v>
      </c>
      <c r="AX26" s="57">
        <f>RP_Data!H6</f>
        <v>4046.0600000000004</v>
      </c>
      <c r="AY26" s="57">
        <f>RP_Data!I6</f>
        <v>2149.1799999999998</v>
      </c>
      <c r="BA26" s="15" t="s">
        <v>4</v>
      </c>
      <c r="BB26" s="15" t="s">
        <v>134</v>
      </c>
      <c r="BC26" s="36">
        <f>RP_Data!M6</f>
        <v>2728.52</v>
      </c>
      <c r="BD26" s="36">
        <f>RP_Data!N6</f>
        <v>2034.4299999999996</v>
      </c>
      <c r="BE26" s="36">
        <f>RP_Data!O6</f>
        <v>2298.2599999999998</v>
      </c>
      <c r="BF26" s="36">
        <f>RP_Data!P6</f>
        <v>2381.0800000000004</v>
      </c>
      <c r="BG26" s="36">
        <f>RP_Data!Q6</f>
        <v>2403.46</v>
      </c>
      <c r="BH26" s="36">
        <f>RP_Data!R6</f>
        <v>2149.1799999999998</v>
      </c>
      <c r="BX26"/>
    </row>
    <row r="27" spans="1:76" s="10" customFormat="1" ht="19.2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21"/>
      <c r="Y27" s="4"/>
      <c r="Z27"/>
      <c r="AA27"/>
      <c r="AK27"/>
      <c r="AL27"/>
      <c r="AM27"/>
      <c r="AN27"/>
      <c r="AO27"/>
      <c r="AP27"/>
      <c r="AQ27" s="4"/>
      <c r="AR27" s="30" t="s">
        <v>5</v>
      </c>
      <c r="AS27" s="30" t="s">
        <v>135</v>
      </c>
      <c r="AT27" s="57">
        <f>RP_Data!D7</f>
        <v>1634.38</v>
      </c>
      <c r="AU27" s="57">
        <f>RP_Data!E7</f>
        <v>1591.6599999999999</v>
      </c>
      <c r="AV27" s="57">
        <f>RP_Data!F7</f>
        <v>1641.45</v>
      </c>
      <c r="AW27" s="57">
        <f>RP_Data!G7</f>
        <v>1298.79</v>
      </c>
      <c r="AX27" s="57">
        <f>RP_Data!H7</f>
        <v>1271.76</v>
      </c>
      <c r="AY27" s="57">
        <f>RP_Data!I7</f>
        <v>512.64</v>
      </c>
      <c r="AZ27"/>
      <c r="BA27" s="15" t="s">
        <v>5</v>
      </c>
      <c r="BB27" s="15" t="s">
        <v>135</v>
      </c>
      <c r="BC27" s="36">
        <f>RP_Data!M7</f>
        <v>780.04</v>
      </c>
      <c r="BD27" s="36">
        <f>RP_Data!N7</f>
        <v>623</v>
      </c>
      <c r="BE27" s="36">
        <f>RP_Data!O7</f>
        <v>819.6099999999999</v>
      </c>
      <c r="BF27" s="36">
        <f>RP_Data!P7</f>
        <v>480.66</v>
      </c>
      <c r="BG27" s="36">
        <f>RP_Data!Q7</f>
        <v>542.49</v>
      </c>
      <c r="BH27" s="36">
        <f>RP_Data!R7</f>
        <v>512.64</v>
      </c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X27"/>
    </row>
    <row r="28" spans="1:76" ht="14.55" customHeight="1">
      <c r="B28" s="53"/>
      <c r="X28" s="21"/>
      <c r="AR28" s="30" t="s">
        <v>6</v>
      </c>
      <c r="AS28" s="30" t="s">
        <v>136</v>
      </c>
      <c r="AT28" s="57">
        <f>RP_Data!D8</f>
        <v>1285.4700000000003</v>
      </c>
      <c r="AU28" s="57">
        <f>RP_Data!E8</f>
        <v>1239.48</v>
      </c>
      <c r="AV28" s="57">
        <f>RP_Data!F8</f>
        <v>1367.5999999999997</v>
      </c>
      <c r="AW28" s="57">
        <f>RP_Data!G8</f>
        <v>1317.73</v>
      </c>
      <c r="AX28" s="57">
        <f>RP_Data!H8</f>
        <v>1538.3400000000004</v>
      </c>
      <c r="AY28" s="57">
        <f>RP_Data!I8</f>
        <v>359.49</v>
      </c>
      <c r="BA28" s="15" t="s">
        <v>6</v>
      </c>
      <c r="BB28" s="15" t="s">
        <v>136</v>
      </c>
      <c r="BC28" s="36">
        <f>RP_Data!M8</f>
        <v>424.87999999999994</v>
      </c>
      <c r="BD28" s="36">
        <f>RP_Data!N8</f>
        <v>326.16000000000008</v>
      </c>
      <c r="BE28" s="36">
        <f>RP_Data!O8</f>
        <v>369.74</v>
      </c>
      <c r="BF28" s="36">
        <f>RP_Data!P8</f>
        <v>350.85</v>
      </c>
      <c r="BG28" s="36">
        <f>RP_Data!Q8</f>
        <v>351.07</v>
      </c>
      <c r="BH28" s="36">
        <f>RP_Data!R8</f>
        <v>359.49</v>
      </c>
      <c r="BX28"/>
    </row>
    <row r="29" spans="1:76" ht="14.55" customHeight="1">
      <c r="X29" s="21"/>
      <c r="AR29" s="30" t="s">
        <v>7</v>
      </c>
      <c r="AS29" s="30" t="s">
        <v>137</v>
      </c>
      <c r="AT29" s="57">
        <f>RP_Data!D9</f>
        <v>1312.1699999999998</v>
      </c>
      <c r="AU29" s="57">
        <f>RP_Data!E9</f>
        <v>1112.73</v>
      </c>
      <c r="AV29" s="57">
        <f>RP_Data!F9</f>
        <v>1217.33</v>
      </c>
      <c r="AW29" s="57">
        <f>RP_Data!G9</f>
        <v>1186.3700000000003</v>
      </c>
      <c r="AX29" s="57">
        <f>RP_Data!H9</f>
        <v>1043.07</v>
      </c>
      <c r="AY29" s="57">
        <f>RP_Data!I9</f>
        <v>399.17</v>
      </c>
      <c r="BA29" s="15" t="s">
        <v>7</v>
      </c>
      <c r="BB29" s="15" t="s">
        <v>137</v>
      </c>
      <c r="BC29" s="36">
        <f>RP_Data!M9</f>
        <v>286.2</v>
      </c>
      <c r="BD29" s="36">
        <f>RP_Data!N9</f>
        <v>281.67</v>
      </c>
      <c r="BE29" s="36">
        <f>RP_Data!O9</f>
        <v>333.91</v>
      </c>
      <c r="BF29" s="36">
        <f>RP_Data!P9</f>
        <v>426.44999999999993</v>
      </c>
      <c r="BG29" s="36">
        <f>RP_Data!Q9</f>
        <v>386.32000000000005</v>
      </c>
      <c r="BH29" s="36">
        <f>RP_Data!R9</f>
        <v>399.17</v>
      </c>
      <c r="BX29"/>
    </row>
    <row r="30" spans="1:76" ht="14.55" customHeight="1">
      <c r="X30" s="21"/>
      <c r="Y30" s="6"/>
      <c r="AQ30" s="6"/>
      <c r="AR30" s="30" t="s">
        <v>8</v>
      </c>
      <c r="AS30" s="30" t="s">
        <v>138</v>
      </c>
      <c r="AT30" s="57">
        <f>RP_Data!D10</f>
        <v>1121.0999999999999</v>
      </c>
      <c r="AU30" s="57">
        <f>RP_Data!E10</f>
        <v>866.24999999999989</v>
      </c>
      <c r="AV30" s="57">
        <f>RP_Data!F10</f>
        <v>1004.3599999999999</v>
      </c>
      <c r="AW30" s="57">
        <f>RP_Data!G10</f>
        <v>1134.5900000000001</v>
      </c>
      <c r="AX30" s="57">
        <f>RP_Data!H10</f>
        <v>1058.1899999999996</v>
      </c>
      <c r="AY30" s="57">
        <f>RP_Data!I10</f>
        <v>156.83999999999997</v>
      </c>
      <c r="BA30" s="15" t="s">
        <v>8</v>
      </c>
      <c r="BB30" s="15" t="s">
        <v>138</v>
      </c>
      <c r="BC30" s="36">
        <f>RP_Data!M10</f>
        <v>301.94</v>
      </c>
      <c r="BD30" s="36">
        <f>RP_Data!N10</f>
        <v>193.9</v>
      </c>
      <c r="BE30" s="36">
        <f>RP_Data!O10</f>
        <v>359.71000000000004</v>
      </c>
      <c r="BF30" s="36">
        <f>RP_Data!P10</f>
        <v>407.66000000000008</v>
      </c>
      <c r="BG30" s="36">
        <f>RP_Data!Q10</f>
        <v>351.39999999999992</v>
      </c>
      <c r="BH30" s="36">
        <f>RP_Data!R10</f>
        <v>156.83999999999997</v>
      </c>
      <c r="BX30"/>
    </row>
    <row r="31" spans="1:76" ht="14.55" customHeight="1">
      <c r="X31" s="21"/>
      <c r="AR31" s="30" t="s">
        <v>9</v>
      </c>
      <c r="AS31" s="30" t="s">
        <v>139</v>
      </c>
      <c r="AT31" s="57">
        <f>RP_Data!D11</f>
        <v>757.72</v>
      </c>
      <c r="AU31" s="57">
        <f>RP_Data!E11</f>
        <v>747.02999999999986</v>
      </c>
      <c r="AV31" s="57">
        <f>RP_Data!F11</f>
        <v>695.06000000000006</v>
      </c>
      <c r="AW31" s="57">
        <f>RP_Data!G11</f>
        <v>939.63</v>
      </c>
      <c r="AX31" s="57">
        <f>RP_Data!H11</f>
        <v>759.78</v>
      </c>
      <c r="AY31" s="57">
        <f>RP_Data!I11</f>
        <v>182.35999999999999</v>
      </c>
      <c r="BA31" s="15" t="s">
        <v>9</v>
      </c>
      <c r="BB31" s="15" t="s">
        <v>139</v>
      </c>
      <c r="BC31" s="36">
        <f>RP_Data!M11</f>
        <v>123.83000000000001</v>
      </c>
      <c r="BD31" s="36">
        <f>RP_Data!N11</f>
        <v>119.1</v>
      </c>
      <c r="BE31" s="36">
        <f>RP_Data!O11</f>
        <v>172.42999999999998</v>
      </c>
      <c r="BF31" s="36">
        <f>RP_Data!P11</f>
        <v>267.10000000000002</v>
      </c>
      <c r="BG31" s="36">
        <f>RP_Data!Q11</f>
        <v>161.91</v>
      </c>
      <c r="BH31" s="36">
        <f>RP_Data!R11</f>
        <v>182.35999999999999</v>
      </c>
      <c r="BX31"/>
    </row>
    <row r="32" spans="1:76" ht="14.55" customHeight="1">
      <c r="X32" s="21"/>
      <c r="Y32" s="7"/>
      <c r="AQ32" s="7"/>
      <c r="AR32" s="30" t="s">
        <v>10</v>
      </c>
      <c r="AS32" s="30" t="s">
        <v>140</v>
      </c>
      <c r="AT32" s="57">
        <f>RP_Data!D12</f>
        <v>2089.9199999999996</v>
      </c>
      <c r="AU32" s="57">
        <f>RP_Data!E12</f>
        <v>2384.5000000000005</v>
      </c>
      <c r="AV32" s="57">
        <f>RP_Data!F12</f>
        <v>2717.72</v>
      </c>
      <c r="AW32" s="57">
        <f>RP_Data!G12</f>
        <v>2522.8600000000006</v>
      </c>
      <c r="AX32" s="57">
        <f>RP_Data!H12</f>
        <v>1953.43</v>
      </c>
      <c r="AY32" s="57">
        <f>RP_Data!I12</f>
        <v>320.27</v>
      </c>
      <c r="BA32" s="15" t="s">
        <v>10</v>
      </c>
      <c r="BB32" s="15" t="s">
        <v>140</v>
      </c>
      <c r="BC32" s="36">
        <f>RP_Data!M12</f>
        <v>421.93</v>
      </c>
      <c r="BD32" s="36">
        <f>RP_Data!N12</f>
        <v>636.18000000000006</v>
      </c>
      <c r="BE32" s="36">
        <f>RP_Data!O12</f>
        <v>754.13000000000011</v>
      </c>
      <c r="BF32" s="36">
        <f>RP_Data!P12</f>
        <v>777.23</v>
      </c>
      <c r="BG32" s="36">
        <f>RP_Data!Q12</f>
        <v>498.57000000000005</v>
      </c>
      <c r="BH32" s="36">
        <f>RP_Data!R12</f>
        <v>320.27</v>
      </c>
      <c r="BX32"/>
    </row>
    <row r="33" spans="24:76" ht="14.55" customHeight="1">
      <c r="X33" s="21"/>
      <c r="AR33" s="30" t="s">
        <v>11</v>
      </c>
      <c r="AS33" s="30" t="s">
        <v>141</v>
      </c>
      <c r="AT33" s="57">
        <f>RP_Data!D13</f>
        <v>2998.2599999999998</v>
      </c>
      <c r="AU33" s="57">
        <f>RP_Data!E13</f>
        <v>2295.1799999999998</v>
      </c>
      <c r="AV33" s="57">
        <f>RP_Data!F13</f>
        <v>2191.87</v>
      </c>
      <c r="AW33" s="57">
        <f>RP_Data!G13</f>
        <v>1720.86</v>
      </c>
      <c r="AX33" s="57">
        <f>RP_Data!H13</f>
        <v>1578.81</v>
      </c>
      <c r="AY33" s="57">
        <f>RP_Data!I13</f>
        <v>610.16000000000008</v>
      </c>
      <c r="BA33" s="15" t="s">
        <v>11</v>
      </c>
      <c r="BB33" s="15" t="s">
        <v>141</v>
      </c>
      <c r="BC33" s="36">
        <f>RP_Data!M13</f>
        <v>1306.4000000000001</v>
      </c>
      <c r="BD33" s="36">
        <f>RP_Data!N13</f>
        <v>966.04000000000008</v>
      </c>
      <c r="BE33" s="36">
        <f>RP_Data!O13</f>
        <v>804.53</v>
      </c>
      <c r="BF33" s="36">
        <f>RP_Data!P13</f>
        <v>750.19</v>
      </c>
      <c r="BG33" s="36">
        <f>RP_Data!Q13</f>
        <v>787</v>
      </c>
      <c r="BH33" s="36">
        <f>RP_Data!R13</f>
        <v>610.16000000000008</v>
      </c>
      <c r="BX33"/>
    </row>
    <row r="34" spans="24:76" ht="14.55" customHeight="1">
      <c r="X34" s="21"/>
      <c r="AR34" s="30" t="s">
        <v>12</v>
      </c>
      <c r="AS34" s="30" t="s">
        <v>142</v>
      </c>
      <c r="AT34" s="57">
        <f>RP_Data!D14</f>
        <v>768.85</v>
      </c>
      <c r="AU34" s="57">
        <f>RP_Data!E14</f>
        <v>1365.99</v>
      </c>
      <c r="AV34" s="57">
        <f>RP_Data!F14</f>
        <v>1387.63</v>
      </c>
      <c r="AW34" s="57">
        <f>RP_Data!G14</f>
        <v>1490.27</v>
      </c>
      <c r="AX34" s="57">
        <f>RP_Data!H14</f>
        <v>968.28000000000009</v>
      </c>
      <c r="AY34" s="57">
        <f>RP_Data!I14</f>
        <v>369.76</v>
      </c>
      <c r="BA34" s="15" t="s">
        <v>12</v>
      </c>
      <c r="BB34" s="15" t="s">
        <v>142</v>
      </c>
      <c r="BC34" s="36">
        <f>RP_Data!M14</f>
        <v>419.85</v>
      </c>
      <c r="BD34" s="36">
        <f>RP_Data!N14</f>
        <v>548.73</v>
      </c>
      <c r="BE34" s="36">
        <f>RP_Data!O14</f>
        <v>712.07</v>
      </c>
      <c r="BF34" s="36">
        <f>RP_Data!P14</f>
        <v>802</v>
      </c>
      <c r="BG34" s="36">
        <f>RP_Data!Q14</f>
        <v>496.09999999999997</v>
      </c>
      <c r="BH34" s="36">
        <f>RP_Data!R14</f>
        <v>369.76</v>
      </c>
      <c r="BX34"/>
    </row>
    <row r="35" spans="24:76" ht="14.55" customHeight="1">
      <c r="X35" s="21"/>
      <c r="AR35" s="30" t="s">
        <v>13</v>
      </c>
      <c r="AS35" s="30" t="s">
        <v>143</v>
      </c>
      <c r="AT35" s="57">
        <f>RP_Data!D15</f>
        <v>1496.4</v>
      </c>
      <c r="AU35" s="57">
        <f>RP_Data!E15</f>
        <v>1740.56</v>
      </c>
      <c r="AV35" s="57">
        <f>RP_Data!F15</f>
        <v>1961.5299999999997</v>
      </c>
      <c r="AW35" s="57">
        <f>RP_Data!G15</f>
        <v>1771.3400000000001</v>
      </c>
      <c r="AX35" s="57">
        <f>RP_Data!H15</f>
        <v>1725.39</v>
      </c>
      <c r="AY35" s="57">
        <f>RP_Data!I15</f>
        <v>659.44999999999993</v>
      </c>
      <c r="BA35" s="15" t="s">
        <v>13</v>
      </c>
      <c r="BB35" s="15" t="s">
        <v>143</v>
      </c>
      <c r="BC35" s="36">
        <f>RP_Data!M15</f>
        <v>537.47</v>
      </c>
      <c r="BD35" s="36">
        <f>RP_Data!N15</f>
        <v>773.36000000000013</v>
      </c>
      <c r="BE35" s="36">
        <f>RP_Data!O15</f>
        <v>887.53</v>
      </c>
      <c r="BF35" s="36">
        <f>RP_Data!P15</f>
        <v>796.25</v>
      </c>
      <c r="BG35" s="36">
        <f>RP_Data!Q15</f>
        <v>808.78</v>
      </c>
      <c r="BH35" s="36">
        <f>RP_Data!R15</f>
        <v>659.44999999999993</v>
      </c>
      <c r="BX35"/>
    </row>
    <row r="36" spans="24:76" ht="14.55" customHeight="1">
      <c r="X36" s="21"/>
      <c r="AR36" s="30" t="s">
        <v>14</v>
      </c>
      <c r="AS36" s="30" t="s">
        <v>144</v>
      </c>
      <c r="AT36" s="57">
        <f>RP_Data!D16</f>
        <v>87</v>
      </c>
      <c r="AU36" s="57">
        <f>RP_Data!E16</f>
        <v>161</v>
      </c>
      <c r="AV36" s="57">
        <f>RP_Data!F16</f>
        <v>145.5</v>
      </c>
      <c r="AW36" s="57">
        <f>RP_Data!G16</f>
        <v>73</v>
      </c>
      <c r="AX36" s="57">
        <f>RP_Data!H16</f>
        <v>91.5</v>
      </c>
      <c r="AY36" s="57">
        <f>RP_Data!I16</f>
        <v>21.5</v>
      </c>
      <c r="BA36" s="15" t="s">
        <v>14</v>
      </c>
      <c r="BB36" s="15" t="s">
        <v>144</v>
      </c>
      <c r="BC36" s="36">
        <f>RP_Data!M16</f>
        <v>0</v>
      </c>
      <c r="BD36" s="36">
        <f>RP_Data!N16</f>
        <v>102</v>
      </c>
      <c r="BE36" s="36">
        <f>RP_Data!O16</f>
        <v>77.5</v>
      </c>
      <c r="BF36" s="36">
        <f>RP_Data!P16</f>
        <v>44</v>
      </c>
      <c r="BG36" s="36">
        <f>RP_Data!Q16</f>
        <v>65.5</v>
      </c>
      <c r="BH36" s="36">
        <f>RP_Data!R16</f>
        <v>21.5</v>
      </c>
      <c r="BX36"/>
    </row>
    <row r="37" spans="24:76" ht="14.55" customHeight="1">
      <c r="X37" s="21"/>
      <c r="AR37" s="30" t="s">
        <v>15</v>
      </c>
      <c r="AS37" s="30" t="s">
        <v>145</v>
      </c>
      <c r="AT37" s="57">
        <f>RP_Data!D17</f>
        <v>111.32</v>
      </c>
      <c r="AU37" s="57">
        <f>RP_Data!E17</f>
        <v>223.15</v>
      </c>
      <c r="AV37" s="57">
        <f>RP_Data!F17</f>
        <v>169.63</v>
      </c>
      <c r="AW37" s="57">
        <f>RP_Data!G17</f>
        <v>105.94999999999999</v>
      </c>
      <c r="AX37" s="57">
        <f>RP_Data!H17</f>
        <v>177.37</v>
      </c>
      <c r="AY37" s="57">
        <f>RP_Data!I17</f>
        <v>21.25</v>
      </c>
      <c r="BA37" s="15" t="s">
        <v>15</v>
      </c>
      <c r="BB37" s="15" t="s">
        <v>145</v>
      </c>
      <c r="BC37" s="36">
        <f>RP_Data!M17</f>
        <v>45.28</v>
      </c>
      <c r="BD37" s="36">
        <f>RP_Data!N17</f>
        <v>131.01</v>
      </c>
      <c r="BE37" s="36">
        <f>RP_Data!O17</f>
        <v>77.460000000000008</v>
      </c>
      <c r="BF37" s="36">
        <f>RP_Data!P17</f>
        <v>56.230000000000004</v>
      </c>
      <c r="BG37" s="36">
        <f>RP_Data!Q17</f>
        <v>88.43</v>
      </c>
      <c r="BH37" s="36">
        <f>RP_Data!R17</f>
        <v>21.25</v>
      </c>
      <c r="BX37"/>
    </row>
    <row r="38" spans="24:76" ht="14.55" customHeight="1">
      <c r="X38" s="21"/>
      <c r="AR38" s="30" t="s">
        <v>27</v>
      </c>
      <c r="AS38" s="30" t="s">
        <v>29</v>
      </c>
      <c r="AT38" s="57">
        <f>RP_Data!D18</f>
        <v>29614.789999999997</v>
      </c>
      <c r="AU38" s="57">
        <f>RP_Data!E18</f>
        <v>29427.03</v>
      </c>
      <c r="AV38" s="57">
        <f>RP_Data!F18</f>
        <v>30100.450000000004</v>
      </c>
      <c r="AW38" s="57">
        <f>RP_Data!G18</f>
        <v>28586.280000000002</v>
      </c>
      <c r="AX38" s="57">
        <f>RP_Data!H18</f>
        <v>24453.54</v>
      </c>
      <c r="AY38" s="57">
        <f>RP_Data!I18</f>
        <v>7752.9000000000005</v>
      </c>
      <c r="BA38" s="15" t="s">
        <v>27</v>
      </c>
      <c r="BB38" s="14" t="s">
        <v>29</v>
      </c>
      <c r="BC38" s="36">
        <f>RP_Data!M18</f>
        <v>10467.49</v>
      </c>
      <c r="BD38" s="36">
        <f>RP_Data!N18</f>
        <v>10323.86</v>
      </c>
      <c r="BE38" s="36">
        <f>RP_Data!O18</f>
        <v>11285.919999999998</v>
      </c>
      <c r="BF38" s="36">
        <f>RP_Data!P18</f>
        <v>10957.890000000001</v>
      </c>
      <c r="BG38" s="36">
        <f>RP_Data!Q18</f>
        <v>9804.81</v>
      </c>
      <c r="BH38" s="36">
        <f>RP_Data!R18</f>
        <v>7752.9000000000005</v>
      </c>
      <c r="BX38"/>
    </row>
    <row r="39" spans="24:76" ht="14.55" customHeight="1">
      <c r="X39" s="21"/>
      <c r="AR39"/>
      <c r="BX39"/>
    </row>
    <row r="40" spans="24:76" ht="14.55" customHeight="1">
      <c r="X40" s="21"/>
      <c r="AR40"/>
      <c r="BX40"/>
    </row>
    <row r="41" spans="24:76" ht="14.55" customHeight="1">
      <c r="X41" s="21"/>
      <c r="AR41" s="30" t="s">
        <v>21</v>
      </c>
      <c r="AS41" s="30" t="s">
        <v>20</v>
      </c>
      <c r="AT41" s="30" t="s">
        <v>30</v>
      </c>
      <c r="AU41" s="30" t="s">
        <v>22</v>
      </c>
      <c r="AV41" s="30" t="s">
        <v>39</v>
      </c>
      <c r="AW41" s="30" t="s">
        <v>40</v>
      </c>
      <c r="AX41" s="30" t="s">
        <v>41</v>
      </c>
      <c r="AY41" s="30" t="s">
        <v>42</v>
      </c>
      <c r="AZ41" s="17"/>
      <c r="BA41" s="12" t="s">
        <v>21</v>
      </c>
      <c r="BB41" s="12" t="s">
        <v>20</v>
      </c>
      <c r="BC41" s="12" t="s">
        <v>30</v>
      </c>
      <c r="BD41" s="12" t="s">
        <v>22</v>
      </c>
      <c r="BE41" s="12" t="s">
        <v>39</v>
      </c>
      <c r="BF41" s="12" t="s">
        <v>40</v>
      </c>
      <c r="BG41" s="12" t="s">
        <v>41</v>
      </c>
      <c r="BH41" s="12" t="s">
        <v>42</v>
      </c>
      <c r="BX41"/>
    </row>
    <row r="42" spans="24:76" ht="14.55" customHeight="1">
      <c r="X42" s="37"/>
      <c r="AR42" s="30" t="s">
        <v>0</v>
      </c>
      <c r="AS42" s="30" t="s">
        <v>131</v>
      </c>
      <c r="AT42" s="57">
        <f>RP_Data!D22</f>
        <v>105.08000000000001</v>
      </c>
      <c r="AU42" s="57">
        <f>RP_Data!E22</f>
        <v>307.08999999999997</v>
      </c>
      <c r="AV42" s="57">
        <f>RP_Data!F22</f>
        <v>185.65999999999997</v>
      </c>
      <c r="AW42" s="57">
        <f>RP_Data!G22</f>
        <v>221.24</v>
      </c>
      <c r="AX42" s="57">
        <f>RP_Data!H22</f>
        <v>16.95</v>
      </c>
      <c r="AY42" s="57">
        <f>RP_Data!I22</f>
        <v>10.5</v>
      </c>
      <c r="BA42" s="15" t="s">
        <v>0</v>
      </c>
      <c r="BB42" s="15" t="s">
        <v>131</v>
      </c>
      <c r="BC42" s="36">
        <f>RP_Data!M22</f>
        <v>26.100000000000005</v>
      </c>
      <c r="BD42" s="36">
        <f>RP_Data!N22</f>
        <v>138.35</v>
      </c>
      <c r="BE42" s="36">
        <f>RP_Data!O22</f>
        <v>105.6</v>
      </c>
      <c r="BF42" s="36">
        <f>RP_Data!P22</f>
        <v>85.24</v>
      </c>
      <c r="BG42" s="36">
        <f>RP_Data!Q22</f>
        <v>5.75</v>
      </c>
      <c r="BH42" s="36">
        <f>RP_Data!R22</f>
        <v>10.5</v>
      </c>
      <c r="BV42" s="10"/>
      <c r="BX42"/>
    </row>
    <row r="43" spans="24:76" ht="14.55" customHeight="1">
      <c r="X43" s="21"/>
      <c r="AR43" s="30" t="s">
        <v>1</v>
      </c>
      <c r="AS43" s="30" t="s">
        <v>130</v>
      </c>
      <c r="AT43" s="57">
        <f>RP_Data!D23</f>
        <v>434.22000000000014</v>
      </c>
      <c r="AU43" s="57">
        <f>RP_Data!E23</f>
        <v>677.05</v>
      </c>
      <c r="AV43" s="57">
        <f>RP_Data!F23</f>
        <v>439.26000000000005</v>
      </c>
      <c r="AW43" s="57">
        <f>RP_Data!G23</f>
        <v>634.7199999999998</v>
      </c>
      <c r="AX43" s="57">
        <f>RP_Data!H23</f>
        <v>205.65</v>
      </c>
      <c r="AY43" s="57">
        <f>RP_Data!I23</f>
        <v>94.399999999999991</v>
      </c>
      <c r="BA43" s="15" t="s">
        <v>1</v>
      </c>
      <c r="BB43" s="15" t="s">
        <v>130</v>
      </c>
      <c r="BC43" s="36">
        <f>RP_Data!M23</f>
        <v>226.21999999999997</v>
      </c>
      <c r="BD43" s="36">
        <f>RP_Data!N23</f>
        <v>322.40000000000003</v>
      </c>
      <c r="BE43" s="36">
        <f>RP_Data!O23</f>
        <v>166.75</v>
      </c>
      <c r="BF43" s="36">
        <f>RP_Data!P23</f>
        <v>297.55</v>
      </c>
      <c r="BG43" s="36">
        <f>RP_Data!Q23</f>
        <v>97</v>
      </c>
      <c r="BH43" s="36">
        <f>RP_Data!R23</f>
        <v>94.399999999999991</v>
      </c>
      <c r="BX43"/>
    </row>
    <row r="44" spans="24:76" ht="14.55" customHeight="1">
      <c r="X44" s="21"/>
      <c r="AR44" s="30" t="s">
        <v>2</v>
      </c>
      <c r="AS44" s="30" t="s">
        <v>132</v>
      </c>
      <c r="AT44" s="57">
        <f>RP_Data!D24</f>
        <v>0</v>
      </c>
      <c r="AU44" s="57">
        <f>RP_Data!E24</f>
        <v>0</v>
      </c>
      <c r="AV44" s="57">
        <f>RP_Data!F24</f>
        <v>0</v>
      </c>
      <c r="AW44" s="57">
        <f>RP_Data!G24</f>
        <v>0</v>
      </c>
      <c r="AX44" s="57">
        <f>RP_Data!H24</f>
        <v>72.499999999999986</v>
      </c>
      <c r="AY44" s="57">
        <f>RP_Data!I24</f>
        <v>38.900000000000006</v>
      </c>
      <c r="BA44" s="15" t="s">
        <v>2</v>
      </c>
      <c r="BB44" s="15" t="s">
        <v>132</v>
      </c>
      <c r="BC44" s="36">
        <f>RP_Data!M24</f>
        <v>0</v>
      </c>
      <c r="BD44" s="36">
        <f>RP_Data!N24</f>
        <v>0</v>
      </c>
      <c r="BE44" s="36">
        <f>RP_Data!O24</f>
        <v>0</v>
      </c>
      <c r="BF44" s="36">
        <f>RP_Data!P24</f>
        <v>0</v>
      </c>
      <c r="BG44" s="36">
        <f>RP_Data!Q24</f>
        <v>53.999999999999993</v>
      </c>
      <c r="BH44" s="36">
        <f>RP_Data!R24</f>
        <v>38.900000000000006</v>
      </c>
      <c r="BX44"/>
    </row>
    <row r="45" spans="24:76" ht="14.55" customHeight="1">
      <c r="X45" s="21"/>
      <c r="AR45" s="30" t="s">
        <v>3</v>
      </c>
      <c r="AS45" s="30" t="s">
        <v>133</v>
      </c>
      <c r="AT45" s="57">
        <f>RP_Data!D25</f>
        <v>350.06999999999994</v>
      </c>
      <c r="AU45" s="57">
        <f>RP_Data!E25</f>
        <v>264.11000000000013</v>
      </c>
      <c r="AV45" s="57">
        <f>RP_Data!F25</f>
        <v>327.60000000000002</v>
      </c>
      <c r="AW45" s="57">
        <f>RP_Data!G25</f>
        <v>335.43999999999988</v>
      </c>
      <c r="AX45" s="57">
        <f>RP_Data!H25</f>
        <v>213.21</v>
      </c>
      <c r="AY45" s="57">
        <f>RP_Data!I25</f>
        <v>85.560000000000016</v>
      </c>
      <c r="BA45" s="15" t="s">
        <v>3</v>
      </c>
      <c r="BB45" s="15" t="s">
        <v>133</v>
      </c>
      <c r="BC45" s="36">
        <f>RP_Data!M25</f>
        <v>223.93</v>
      </c>
      <c r="BD45" s="36">
        <f>RP_Data!N25</f>
        <v>98.820000000000007</v>
      </c>
      <c r="BE45" s="36">
        <f>RP_Data!O25</f>
        <v>162.03000000000003</v>
      </c>
      <c r="BF45" s="36">
        <f>RP_Data!P25</f>
        <v>166.84000000000006</v>
      </c>
      <c r="BG45" s="36">
        <f>RP_Data!Q25</f>
        <v>139.67000000000002</v>
      </c>
      <c r="BH45" s="36">
        <f>RP_Data!R25</f>
        <v>85.560000000000016</v>
      </c>
      <c r="BX45"/>
    </row>
    <row r="46" spans="24:76" ht="14.55" customHeight="1">
      <c r="X46" s="21"/>
      <c r="AR46" s="30" t="s">
        <v>4</v>
      </c>
      <c r="AS46" s="30" t="s">
        <v>134</v>
      </c>
      <c r="AT46" s="57">
        <f>RP_Data!D26</f>
        <v>1184.7</v>
      </c>
      <c r="AU46" s="57">
        <f>RP_Data!E26</f>
        <v>1065.2699999999998</v>
      </c>
      <c r="AV46" s="57">
        <f>RP_Data!F26</f>
        <v>1104.4200000000003</v>
      </c>
      <c r="AW46" s="57">
        <f>RP_Data!G26</f>
        <v>843.47</v>
      </c>
      <c r="AX46" s="57">
        <f>RP_Data!H26</f>
        <v>615.85</v>
      </c>
      <c r="AY46" s="57">
        <f>RP_Data!I26</f>
        <v>349.34000000000003</v>
      </c>
      <c r="BA46" s="15" t="s">
        <v>4</v>
      </c>
      <c r="BB46" s="15" t="s">
        <v>134</v>
      </c>
      <c r="BC46" s="36">
        <f>RP_Data!M26</f>
        <v>679.65</v>
      </c>
      <c r="BD46" s="36">
        <f>RP_Data!N26</f>
        <v>523.79000000000008</v>
      </c>
      <c r="BE46" s="36">
        <f>RP_Data!O26</f>
        <v>764.33</v>
      </c>
      <c r="BF46" s="36">
        <f>RP_Data!P26</f>
        <v>468.18</v>
      </c>
      <c r="BG46" s="36">
        <f>RP_Data!Q26</f>
        <v>418.54000000000008</v>
      </c>
      <c r="BH46" s="36">
        <f>RP_Data!R26</f>
        <v>349.34000000000003</v>
      </c>
      <c r="BX46"/>
    </row>
    <row r="47" spans="24:76" ht="14.55" customHeight="1">
      <c r="X47" s="21"/>
      <c r="AR47" s="30" t="s">
        <v>5</v>
      </c>
      <c r="AS47" s="30" t="s">
        <v>135</v>
      </c>
      <c r="AT47" s="57">
        <f>RP_Data!D27</f>
        <v>412.72</v>
      </c>
      <c r="AU47" s="57">
        <f>RP_Data!E27</f>
        <v>242.24</v>
      </c>
      <c r="AV47" s="57">
        <f>RP_Data!F27</f>
        <v>255.31</v>
      </c>
      <c r="AW47" s="57">
        <f>RP_Data!G27</f>
        <v>222.21</v>
      </c>
      <c r="AX47" s="57">
        <f>RP_Data!H27</f>
        <v>210.76000000000002</v>
      </c>
      <c r="AY47" s="57">
        <f>RP_Data!I27</f>
        <v>65.62</v>
      </c>
      <c r="BA47" s="15" t="s">
        <v>5</v>
      </c>
      <c r="BB47" s="15" t="s">
        <v>135</v>
      </c>
      <c r="BC47" s="36">
        <f>RP_Data!M27</f>
        <v>204.81000000000006</v>
      </c>
      <c r="BD47" s="36">
        <f>RP_Data!N27</f>
        <v>106.36</v>
      </c>
      <c r="BE47" s="36">
        <f>RP_Data!O27</f>
        <v>150.38</v>
      </c>
      <c r="BF47" s="36">
        <f>RP_Data!P27</f>
        <v>142.80000000000001</v>
      </c>
      <c r="BG47" s="36">
        <f>RP_Data!Q27</f>
        <v>134.87</v>
      </c>
      <c r="BH47" s="36">
        <f>RP_Data!R27</f>
        <v>65.62</v>
      </c>
      <c r="BX47"/>
    </row>
    <row r="48" spans="24:76" ht="14.55" customHeight="1">
      <c r="X48" s="21"/>
      <c r="AR48" s="30" t="s">
        <v>6</v>
      </c>
      <c r="AS48" s="30" t="s">
        <v>136</v>
      </c>
      <c r="AT48" s="57">
        <f>RP_Data!D28</f>
        <v>6.3</v>
      </c>
      <c r="AU48" s="57">
        <f>RP_Data!E28</f>
        <v>12.3</v>
      </c>
      <c r="AV48" s="57">
        <f>RP_Data!F28</f>
        <v>12</v>
      </c>
      <c r="AW48" s="57">
        <f>RP_Data!G28</f>
        <v>23.3</v>
      </c>
      <c r="AX48" s="57">
        <f>RP_Data!H28</f>
        <v>23.88</v>
      </c>
      <c r="AY48" s="57">
        <f>RP_Data!I28</f>
        <v>3</v>
      </c>
      <c r="BA48" s="15" t="s">
        <v>6</v>
      </c>
      <c r="BB48" s="15" t="s">
        <v>136</v>
      </c>
      <c r="BC48" s="36">
        <f>RP_Data!M28</f>
        <v>2.9</v>
      </c>
      <c r="BD48" s="36">
        <f>RP_Data!N28</f>
        <v>0</v>
      </c>
      <c r="BE48" s="36">
        <f>RP_Data!O28</f>
        <v>4</v>
      </c>
      <c r="BF48" s="36">
        <f>RP_Data!P28</f>
        <v>13</v>
      </c>
      <c r="BG48" s="36">
        <f>RP_Data!Q28</f>
        <v>9.3000000000000007</v>
      </c>
      <c r="BH48" s="36">
        <f>RP_Data!R28</f>
        <v>3</v>
      </c>
      <c r="BX48"/>
    </row>
    <row r="49" spans="1:76" ht="14.55" customHeight="1">
      <c r="X49" s="21"/>
      <c r="AR49" s="30" t="s">
        <v>7</v>
      </c>
      <c r="AS49" s="30" t="s">
        <v>137</v>
      </c>
      <c r="AT49" s="57">
        <f>RP_Data!D29</f>
        <v>75.8</v>
      </c>
      <c r="AU49" s="57">
        <f>RP_Data!E29</f>
        <v>29.7</v>
      </c>
      <c r="AV49" s="57">
        <f>RP_Data!F29</f>
        <v>46.4</v>
      </c>
      <c r="AW49" s="57">
        <f>RP_Data!G29</f>
        <v>20.59</v>
      </c>
      <c r="AX49" s="57">
        <f>RP_Data!H29</f>
        <v>65.55</v>
      </c>
      <c r="AY49" s="57">
        <f>RP_Data!I29</f>
        <v>26.55</v>
      </c>
      <c r="BA49" s="15" t="s">
        <v>7</v>
      </c>
      <c r="BB49" s="15" t="s">
        <v>137</v>
      </c>
      <c r="BC49" s="36">
        <f>RP_Data!M29</f>
        <v>57.4</v>
      </c>
      <c r="BD49" s="36">
        <f>RP_Data!N29</f>
        <v>17.7</v>
      </c>
      <c r="BE49" s="36">
        <f>RP_Data!O29</f>
        <v>42.4</v>
      </c>
      <c r="BF49" s="36">
        <f>RP_Data!P29</f>
        <v>20.59</v>
      </c>
      <c r="BG49" s="36">
        <f>RP_Data!Q29</f>
        <v>41.65</v>
      </c>
      <c r="BH49" s="36">
        <f>RP_Data!R29</f>
        <v>26.55</v>
      </c>
      <c r="BX49"/>
    </row>
    <row r="50" spans="1:76" ht="14.55" customHeight="1">
      <c r="B50" s="4" t="str">
        <f t="array" ref="B50">IFERROR(INDEX(#REF!,SMALL(IF(#REF!=$BD$3,ROW(#REF!)-MIN(ROW(#REF!))+1),#REF!)), "")</f>
        <v/>
      </c>
      <c r="C50" s="4" t="str">
        <f t="array" ref="C50">IFERROR(INDEX(#REF!,SMALL(IF(#REF!=$BD$3,ROW(#REF!)-MIN(ROW(#REF!))+1),#REF!)), "")</f>
        <v/>
      </c>
      <c r="D50" s="4" t="str">
        <f t="array" ref="D50">IFERROR(INDEX(#REF!,SMALL(IF(#REF!=$BD$3,ROW(#REF!)-MIN(ROW(#REF!))+1),#REF!)), "")</f>
        <v/>
      </c>
      <c r="E50" s="4" t="str">
        <f t="array" ref="E50">IFERROR(INDEX(#REF!,SMALL(IF(#REF!=$BD$3,ROW(#REF!)-MIN(ROW(#REF!))+1),#REF!)), "")</f>
        <v/>
      </c>
      <c r="F50" s="4" t="str">
        <f t="array" ref="F50">IFERROR(INDEX(#REF!,SMALL(IF(#REF!=$BD$3,ROW(#REF!)-MIN(ROW(#REF!))+1),#REF!)), "")</f>
        <v/>
      </c>
      <c r="G50" s="4" t="str">
        <f t="array" ref="G50">IFERROR(INDEX(#REF!,SMALL(IF(#REF!=$BD$3,ROW(#REF!)-MIN(ROW(#REF!))+1),#REF!)), "")</f>
        <v/>
      </c>
      <c r="H50" s="4" t="str">
        <f t="array" ref="H50">IFERROR(INDEX(#REF!,SMALL(IF(#REF!=$BD$3,ROW(#REF!)-MIN(ROW(#REF!))+1),#REF!)), "")</f>
        <v/>
      </c>
      <c r="I50" s="4" t="str">
        <f t="array" ref="I50">IFERROR(INDEX(#REF!,SMALL(IF(#REF!=$BD$3,ROW(#REF!)-MIN(ROW(#REF!))+1),#REF!)), "")</f>
        <v/>
      </c>
      <c r="J50" s="4" t="str">
        <f t="array" ref="J50">IFERROR(INDEX(#REF!,SMALL(IF(#REF!=$BD$3,ROW(#REF!)-MIN(ROW(#REF!))+1),#REF!)), "")</f>
        <v/>
      </c>
      <c r="X50" s="21"/>
      <c r="AR50" s="30" t="s">
        <v>8</v>
      </c>
      <c r="AS50" s="30" t="s">
        <v>138</v>
      </c>
      <c r="AT50" s="57">
        <f>RP_Data!D30</f>
        <v>646.12</v>
      </c>
      <c r="AU50" s="57">
        <f>RP_Data!E30</f>
        <v>474.57999999999993</v>
      </c>
      <c r="AV50" s="57">
        <f>RP_Data!F30</f>
        <v>454.83</v>
      </c>
      <c r="AW50" s="57">
        <f>RP_Data!G30</f>
        <v>372.71999999999997</v>
      </c>
      <c r="AX50" s="57">
        <f>RP_Data!H30</f>
        <v>266.13</v>
      </c>
      <c r="AY50" s="57">
        <f>RP_Data!I30</f>
        <v>112.20000000000002</v>
      </c>
      <c r="BA50" s="15" t="s">
        <v>8</v>
      </c>
      <c r="BB50" s="15" t="s">
        <v>138</v>
      </c>
      <c r="BC50" s="36">
        <f>RP_Data!M30</f>
        <v>489.35</v>
      </c>
      <c r="BD50" s="36">
        <f>RP_Data!N30</f>
        <v>266.27999999999997</v>
      </c>
      <c r="BE50" s="36">
        <f>RP_Data!O30</f>
        <v>297.89999999999998</v>
      </c>
      <c r="BF50" s="36">
        <f>RP_Data!P30</f>
        <v>214.74</v>
      </c>
      <c r="BG50" s="36">
        <f>RP_Data!Q30</f>
        <v>155.58000000000001</v>
      </c>
      <c r="BH50" s="36">
        <f>RP_Data!R30</f>
        <v>112.20000000000002</v>
      </c>
      <c r="BX50"/>
    </row>
    <row r="51" spans="1:76" ht="14.25" customHeight="1">
      <c r="X51" s="21"/>
      <c r="AR51" s="30" t="s">
        <v>9</v>
      </c>
      <c r="AS51" s="30" t="s">
        <v>139</v>
      </c>
      <c r="AT51" s="57">
        <f>RP_Data!D31</f>
        <v>263.18</v>
      </c>
      <c r="AU51" s="57">
        <f>RP_Data!E31</f>
        <v>91.37</v>
      </c>
      <c r="AV51" s="57">
        <f>RP_Data!F31</f>
        <v>203.67999999999998</v>
      </c>
      <c r="AW51" s="57">
        <f>RP_Data!G31</f>
        <v>251.55999999999992</v>
      </c>
      <c r="AX51" s="57">
        <f>RP_Data!H31</f>
        <v>213.79</v>
      </c>
      <c r="AY51" s="57">
        <f>RP_Data!I31</f>
        <v>57.25</v>
      </c>
      <c r="BA51" s="15" t="s">
        <v>9</v>
      </c>
      <c r="BB51" s="15" t="s">
        <v>139</v>
      </c>
      <c r="BC51" s="36">
        <f>RP_Data!M31</f>
        <v>195.85</v>
      </c>
      <c r="BD51" s="36">
        <f>RP_Data!N31</f>
        <v>41.910000000000004</v>
      </c>
      <c r="BE51" s="36">
        <f>RP_Data!O31</f>
        <v>88.13000000000001</v>
      </c>
      <c r="BF51" s="36">
        <f>RP_Data!P31</f>
        <v>135.16</v>
      </c>
      <c r="BG51" s="36">
        <f>RP_Data!Q31</f>
        <v>126.73999999999998</v>
      </c>
      <c r="BH51" s="36">
        <f>RP_Data!R31</f>
        <v>57.25</v>
      </c>
      <c r="BX51"/>
    </row>
    <row r="52" spans="1:76" s="10" customFormat="1" ht="19.2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21"/>
      <c r="Y52" s="4"/>
      <c r="Z52"/>
      <c r="AA52"/>
      <c r="AK52"/>
      <c r="AL52"/>
      <c r="AM52"/>
      <c r="AN52"/>
      <c r="AO52"/>
      <c r="AP52"/>
      <c r="AQ52" s="4"/>
      <c r="AR52" s="30" t="s">
        <v>10</v>
      </c>
      <c r="AS52" s="30" t="s">
        <v>140</v>
      </c>
      <c r="AT52" s="57">
        <f>RP_Data!D32</f>
        <v>156.19999999999999</v>
      </c>
      <c r="AU52" s="57">
        <f>RP_Data!E32</f>
        <v>134.07999999999998</v>
      </c>
      <c r="AV52" s="57">
        <f>RP_Data!F32</f>
        <v>77.400000000000006</v>
      </c>
      <c r="AW52" s="57">
        <f>RP_Data!G32</f>
        <v>142.61000000000001</v>
      </c>
      <c r="AX52" s="57">
        <f>RP_Data!H32</f>
        <v>110.25</v>
      </c>
      <c r="AY52" s="57">
        <f>RP_Data!I32</f>
        <v>37.21</v>
      </c>
      <c r="AZ52"/>
      <c r="BA52" s="15" t="s">
        <v>10</v>
      </c>
      <c r="BB52" s="15" t="s">
        <v>140</v>
      </c>
      <c r="BC52" s="36">
        <f>RP_Data!M32</f>
        <v>120.22</v>
      </c>
      <c r="BD52" s="36">
        <f>RP_Data!N32</f>
        <v>63.42</v>
      </c>
      <c r="BE52" s="36">
        <f>RP_Data!O32</f>
        <v>48.4</v>
      </c>
      <c r="BF52" s="36">
        <f>RP_Data!P32</f>
        <v>56.07</v>
      </c>
      <c r="BG52" s="36">
        <f>RP_Data!Q32</f>
        <v>78.31</v>
      </c>
      <c r="BH52" s="36">
        <f>RP_Data!R32</f>
        <v>37.21</v>
      </c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X52"/>
    </row>
    <row r="53" spans="1:76" ht="14.55" customHeight="1">
      <c r="X53" s="21"/>
      <c r="AR53" s="30" t="s">
        <v>11</v>
      </c>
      <c r="AS53" s="30" t="s">
        <v>141</v>
      </c>
      <c r="AT53" s="57">
        <f>RP_Data!D33</f>
        <v>193.16000000000003</v>
      </c>
      <c r="AU53" s="57">
        <f>RP_Data!E33</f>
        <v>187.46</v>
      </c>
      <c r="AV53" s="57">
        <f>RP_Data!F33</f>
        <v>201.80999999999995</v>
      </c>
      <c r="AW53" s="57">
        <f>RP_Data!G33</f>
        <v>283.73999999999995</v>
      </c>
      <c r="AX53" s="57">
        <f>RP_Data!H33</f>
        <v>314.42000000000007</v>
      </c>
      <c r="AY53" s="57">
        <f>RP_Data!I33</f>
        <v>35.140000000000008</v>
      </c>
      <c r="BA53" s="15" t="s">
        <v>11</v>
      </c>
      <c r="BB53" s="15" t="s">
        <v>141</v>
      </c>
      <c r="BC53" s="36">
        <f>RP_Data!M33</f>
        <v>130.63999999999999</v>
      </c>
      <c r="BD53" s="36">
        <f>RP_Data!N33</f>
        <v>79.930000000000007</v>
      </c>
      <c r="BE53" s="36">
        <f>RP_Data!O33</f>
        <v>85.32</v>
      </c>
      <c r="BF53" s="36">
        <f>RP_Data!P33</f>
        <v>119.26999999999997</v>
      </c>
      <c r="BG53" s="36">
        <f>RP_Data!Q33</f>
        <v>156.22999999999999</v>
      </c>
      <c r="BH53" s="36">
        <f>RP_Data!R33</f>
        <v>35.140000000000008</v>
      </c>
      <c r="BX53"/>
    </row>
    <row r="54" spans="1:76" ht="14.55" customHeight="1">
      <c r="X54" s="21"/>
      <c r="AR54" s="30" t="s">
        <v>12</v>
      </c>
      <c r="AS54" s="30" t="s">
        <v>142</v>
      </c>
      <c r="AT54" s="57">
        <f>RP_Data!D34</f>
        <v>0</v>
      </c>
      <c r="AU54" s="57">
        <f>RP_Data!E34</f>
        <v>0</v>
      </c>
      <c r="AV54" s="57">
        <f>RP_Data!F34</f>
        <v>0</v>
      </c>
      <c r="AW54" s="57">
        <f>RP_Data!G34</f>
        <v>0</v>
      </c>
      <c r="AX54" s="57">
        <f>RP_Data!H34</f>
        <v>0</v>
      </c>
      <c r="AY54" s="57">
        <f>RP_Data!I34</f>
        <v>0</v>
      </c>
      <c r="BA54" s="15" t="s">
        <v>12</v>
      </c>
      <c r="BB54" s="15" t="s">
        <v>142</v>
      </c>
      <c r="BC54" s="36">
        <f>RP_Data!M34</f>
        <v>0</v>
      </c>
      <c r="BD54" s="36">
        <f>RP_Data!N34</f>
        <v>0</v>
      </c>
      <c r="BE54" s="36">
        <f>RP_Data!O34</f>
        <v>0</v>
      </c>
      <c r="BF54" s="36">
        <f>RP_Data!P34</f>
        <v>0</v>
      </c>
      <c r="BG54" s="36">
        <f>RP_Data!Q34</f>
        <v>0</v>
      </c>
      <c r="BH54" s="36">
        <f>RP_Data!R34</f>
        <v>0</v>
      </c>
      <c r="BX54"/>
    </row>
    <row r="55" spans="1:76" ht="14.55" customHeight="1">
      <c r="X55" s="21"/>
      <c r="AR55" s="30" t="s">
        <v>13</v>
      </c>
      <c r="AS55" s="30" t="s">
        <v>143</v>
      </c>
      <c r="AT55" s="57">
        <f>RP_Data!D35</f>
        <v>0</v>
      </c>
      <c r="AU55" s="57">
        <f>RP_Data!E35</f>
        <v>0</v>
      </c>
      <c r="AV55" s="57">
        <f>RP_Data!F35</f>
        <v>0</v>
      </c>
      <c r="AW55" s="57">
        <f>RP_Data!G35</f>
        <v>0</v>
      </c>
      <c r="AX55" s="57">
        <f>RP_Data!H35</f>
        <v>0</v>
      </c>
      <c r="AY55" s="57">
        <f>RP_Data!I35</f>
        <v>0</v>
      </c>
      <c r="BA55" s="15" t="s">
        <v>13</v>
      </c>
      <c r="BB55" s="15" t="s">
        <v>143</v>
      </c>
      <c r="BC55" s="36">
        <f>RP_Data!M35</f>
        <v>0</v>
      </c>
      <c r="BD55" s="36">
        <f>RP_Data!N35</f>
        <v>0</v>
      </c>
      <c r="BE55" s="36">
        <f>RP_Data!O35</f>
        <v>0</v>
      </c>
      <c r="BF55" s="36">
        <f>RP_Data!P35</f>
        <v>0</v>
      </c>
      <c r="BG55" s="36">
        <f>RP_Data!Q35</f>
        <v>0</v>
      </c>
      <c r="BH55" s="36">
        <f>RP_Data!R35</f>
        <v>0</v>
      </c>
      <c r="BX55"/>
    </row>
    <row r="56" spans="1:76" ht="14.55" customHeight="1">
      <c r="X56" s="21"/>
      <c r="AR56" s="30" t="s">
        <v>14</v>
      </c>
      <c r="AS56" s="30" t="s">
        <v>144</v>
      </c>
      <c r="AT56" s="57">
        <f>RP_Data!D36</f>
        <v>396.12999999999971</v>
      </c>
      <c r="AU56" s="57">
        <f>RP_Data!E36</f>
        <v>281.7999999999999</v>
      </c>
      <c r="AV56" s="57">
        <f>RP_Data!F36</f>
        <v>262.13000000000011</v>
      </c>
      <c r="AW56" s="57">
        <f>RP_Data!G36</f>
        <v>269.99999999999994</v>
      </c>
      <c r="AX56" s="57">
        <f>RP_Data!H36</f>
        <v>181.8</v>
      </c>
      <c r="AY56" s="57">
        <f>RP_Data!I36</f>
        <v>49.9</v>
      </c>
      <c r="BA56" s="15" t="s">
        <v>14</v>
      </c>
      <c r="BB56" s="15" t="s">
        <v>144</v>
      </c>
      <c r="BC56" s="36">
        <f>RP_Data!M36</f>
        <v>255.10000000000008</v>
      </c>
      <c r="BD56" s="36">
        <f>RP_Data!N36</f>
        <v>175.29999999999995</v>
      </c>
      <c r="BE56" s="36">
        <f>RP_Data!O36</f>
        <v>110.74000000000001</v>
      </c>
      <c r="BF56" s="36">
        <f>RP_Data!P36</f>
        <v>117.69999999999997</v>
      </c>
      <c r="BG56" s="36">
        <f>RP_Data!Q36</f>
        <v>129.79999999999998</v>
      </c>
      <c r="BH56" s="36">
        <f>RP_Data!R36</f>
        <v>49.9</v>
      </c>
      <c r="BX56"/>
    </row>
    <row r="57" spans="1:76" ht="14.55" customHeight="1">
      <c r="X57" s="21"/>
      <c r="AR57" s="30" t="s">
        <v>15</v>
      </c>
      <c r="AS57" s="30" t="s">
        <v>145</v>
      </c>
      <c r="AT57" s="57">
        <f>RP_Data!D37</f>
        <v>0</v>
      </c>
      <c r="AU57" s="57">
        <f>RP_Data!E37</f>
        <v>0</v>
      </c>
      <c r="AV57" s="57">
        <f>RP_Data!F37</f>
        <v>0</v>
      </c>
      <c r="AW57" s="57">
        <f>RP_Data!G37</f>
        <v>0</v>
      </c>
      <c r="AX57" s="57">
        <f>RP_Data!H37</f>
        <v>0</v>
      </c>
      <c r="AY57" s="57">
        <f>RP_Data!I37</f>
        <v>0</v>
      </c>
      <c r="BA57" s="15" t="s">
        <v>15</v>
      </c>
      <c r="BB57" s="15" t="s">
        <v>145</v>
      </c>
      <c r="BC57" s="36">
        <f>RP_Data!M37</f>
        <v>0</v>
      </c>
      <c r="BD57" s="36">
        <f>RP_Data!N37</f>
        <v>0</v>
      </c>
      <c r="BE57" s="36">
        <f>RP_Data!O37</f>
        <v>0</v>
      </c>
      <c r="BF57" s="36">
        <f>RP_Data!P37</f>
        <v>0</v>
      </c>
      <c r="BG57" s="36">
        <f>RP_Data!Q37</f>
        <v>0</v>
      </c>
      <c r="BH57" s="36">
        <f>RP_Data!R37</f>
        <v>0</v>
      </c>
      <c r="BX57"/>
    </row>
    <row r="58" spans="1:76" ht="14.55" customHeight="1">
      <c r="X58" s="21"/>
      <c r="AR58" s="30" t="s">
        <v>27</v>
      </c>
      <c r="AS58" s="30" t="s">
        <v>29</v>
      </c>
      <c r="AT58" s="57">
        <f>RP_Data!D38</f>
        <v>4223.6799999999994</v>
      </c>
      <c r="AU58" s="57">
        <f>RP_Data!E38</f>
        <v>3767.0499999999988</v>
      </c>
      <c r="AV58" s="57">
        <f>RP_Data!F38</f>
        <v>3570.5000000000005</v>
      </c>
      <c r="AW58" s="57">
        <f>RP_Data!G38</f>
        <v>3621.5999999999995</v>
      </c>
      <c r="AX58" s="57">
        <f>RP_Data!H38</f>
        <v>2510.7400000000002</v>
      </c>
      <c r="AY58" s="57">
        <f>RP_Data!I38</f>
        <v>965.57</v>
      </c>
      <c r="BA58" s="15" t="s">
        <v>27</v>
      </c>
      <c r="BB58" s="14" t="s">
        <v>29</v>
      </c>
      <c r="BC58" s="36">
        <f>RP_Data!M38</f>
        <v>2612.1699999999996</v>
      </c>
      <c r="BD58" s="36">
        <f>RP_Data!N38</f>
        <v>1834.2600000000002</v>
      </c>
      <c r="BE58" s="36">
        <f>RP_Data!O38</f>
        <v>2025.9800000000005</v>
      </c>
      <c r="BF58" s="36">
        <f>RP_Data!P38</f>
        <v>1837.14</v>
      </c>
      <c r="BG58" s="36">
        <f>RP_Data!Q38</f>
        <v>1547.4399999999998</v>
      </c>
      <c r="BH58" s="36">
        <f>RP_Data!R38</f>
        <v>965.57</v>
      </c>
      <c r="BX58"/>
    </row>
    <row r="59" spans="1:76" ht="14.55" customHeight="1">
      <c r="X59" s="21"/>
      <c r="AR59"/>
      <c r="BX59"/>
    </row>
    <row r="60" spans="1:76" ht="14.55" customHeight="1">
      <c r="X60" s="21"/>
      <c r="AR60"/>
      <c r="BX60"/>
    </row>
    <row r="61" spans="1:76" ht="14.55" customHeight="1">
      <c r="X61" s="21"/>
      <c r="AR61" s="30" t="s">
        <v>21</v>
      </c>
      <c r="AS61" s="30" t="s">
        <v>20</v>
      </c>
      <c r="AT61" s="30" t="s">
        <v>30</v>
      </c>
      <c r="AU61" s="30" t="s">
        <v>22</v>
      </c>
      <c r="AV61" s="30" t="s">
        <v>39</v>
      </c>
      <c r="AW61" s="30" t="s">
        <v>40</v>
      </c>
      <c r="AX61" s="30" t="s">
        <v>41</v>
      </c>
      <c r="AY61" s="30" t="s">
        <v>42</v>
      </c>
      <c r="AZ61" s="17"/>
      <c r="BA61" s="12" t="s">
        <v>21</v>
      </c>
      <c r="BB61" s="12" t="s">
        <v>20</v>
      </c>
      <c r="BC61" s="12" t="s">
        <v>30</v>
      </c>
      <c r="BD61" s="12" t="s">
        <v>22</v>
      </c>
      <c r="BE61" s="12" t="s">
        <v>39</v>
      </c>
      <c r="BF61" s="12" t="s">
        <v>40</v>
      </c>
      <c r="BG61" s="12" t="s">
        <v>41</v>
      </c>
      <c r="BH61" s="12" t="s">
        <v>42</v>
      </c>
      <c r="BX61"/>
    </row>
    <row r="62" spans="1:76" ht="14.55" customHeight="1">
      <c r="X62" s="21"/>
      <c r="AR62" s="30" t="s">
        <v>0</v>
      </c>
      <c r="AS62" s="30" t="s">
        <v>131</v>
      </c>
      <c r="AT62" s="57">
        <f>RP_Data!D42</f>
        <v>1104.26</v>
      </c>
      <c r="AU62" s="57">
        <f>RP_Data!E42</f>
        <v>885.94</v>
      </c>
      <c r="AV62" s="57">
        <f>RP_Data!F42</f>
        <v>1100.82</v>
      </c>
      <c r="AW62" s="57">
        <f>RP_Data!G42</f>
        <v>1881.77</v>
      </c>
      <c r="AX62" s="57">
        <f>RP_Data!H42</f>
        <v>1871.33</v>
      </c>
      <c r="AY62" s="57">
        <f>RP_Data!I42</f>
        <v>672.76</v>
      </c>
      <c r="BA62" s="15" t="s">
        <v>0</v>
      </c>
      <c r="BB62" s="15" t="s">
        <v>131</v>
      </c>
      <c r="BC62" s="36">
        <f>RP_Data!M42</f>
        <v>480.63</v>
      </c>
      <c r="BD62" s="36">
        <f>RP_Data!N42</f>
        <v>397.24</v>
      </c>
      <c r="BE62" s="36">
        <f>RP_Data!O42</f>
        <v>687.25</v>
      </c>
      <c r="BF62" s="36">
        <f>RP_Data!P42</f>
        <v>1109.1699999999998</v>
      </c>
      <c r="BG62" s="36">
        <f>RP_Data!Q42</f>
        <v>1012.38</v>
      </c>
      <c r="BH62" s="36">
        <f>RP_Data!R42</f>
        <v>672.76</v>
      </c>
      <c r="BX62"/>
    </row>
    <row r="63" spans="1:76" ht="14.55" customHeight="1">
      <c r="X63" s="21"/>
      <c r="AR63" s="30" t="s">
        <v>1</v>
      </c>
      <c r="AS63" s="30" t="s">
        <v>130</v>
      </c>
      <c r="AT63" s="57">
        <f>RP_Data!D43</f>
        <v>3635.05</v>
      </c>
      <c r="AU63" s="57">
        <f>RP_Data!E43</f>
        <v>2067.5500000000002</v>
      </c>
      <c r="AV63" s="57">
        <f>RP_Data!F43</f>
        <v>2987.16</v>
      </c>
      <c r="AW63" s="57">
        <f>RP_Data!G43</f>
        <v>2476.4299999999998</v>
      </c>
      <c r="AX63" s="57">
        <f>RP_Data!H43</f>
        <v>3304.1000000000004</v>
      </c>
      <c r="AY63" s="57">
        <f>RP_Data!I43</f>
        <v>1051.5</v>
      </c>
      <c r="BA63" s="15" t="s">
        <v>1</v>
      </c>
      <c r="BB63" s="15" t="s">
        <v>130</v>
      </c>
      <c r="BC63" s="36">
        <f>RP_Data!M43</f>
        <v>1728.6499999999999</v>
      </c>
      <c r="BD63" s="36">
        <f>RP_Data!N43</f>
        <v>931.35</v>
      </c>
      <c r="BE63" s="36">
        <f>RP_Data!O43</f>
        <v>1723.03</v>
      </c>
      <c r="BF63" s="36">
        <f>RP_Data!P43</f>
        <v>1728.35</v>
      </c>
      <c r="BG63" s="36">
        <f>RP_Data!Q43</f>
        <v>1930.9</v>
      </c>
      <c r="BH63" s="36">
        <f>RP_Data!R43</f>
        <v>1051.5</v>
      </c>
      <c r="BX63"/>
    </row>
    <row r="64" spans="1:76" ht="14.55" customHeight="1">
      <c r="X64" s="21"/>
      <c r="AR64" s="30" t="s">
        <v>2</v>
      </c>
      <c r="AS64" s="30" t="s">
        <v>132</v>
      </c>
      <c r="AT64" s="57">
        <f>RP_Data!D44</f>
        <v>2563.73</v>
      </c>
      <c r="AU64" s="57">
        <f>RP_Data!E44</f>
        <v>2635.5699999999997</v>
      </c>
      <c r="AV64" s="57">
        <f>RP_Data!F44</f>
        <v>2897.14</v>
      </c>
      <c r="AW64" s="57">
        <f>RP_Data!G44</f>
        <v>1808.1</v>
      </c>
      <c r="AX64" s="57">
        <f>RP_Data!H44</f>
        <v>2945.36</v>
      </c>
      <c r="AY64" s="57">
        <f>RP_Data!I44</f>
        <v>1450.87</v>
      </c>
      <c r="BA64" s="15" t="s">
        <v>2</v>
      </c>
      <c r="BB64" s="15" t="s">
        <v>132</v>
      </c>
      <c r="BC64" s="36">
        <f>RP_Data!M44</f>
        <v>1468.6599999999999</v>
      </c>
      <c r="BD64" s="36">
        <f>RP_Data!N44</f>
        <v>1540.4199999999998</v>
      </c>
      <c r="BE64" s="36">
        <f>RP_Data!O44</f>
        <v>1451.57</v>
      </c>
      <c r="BF64" s="36">
        <f>RP_Data!P44</f>
        <v>921.7</v>
      </c>
      <c r="BG64" s="36">
        <f>RP_Data!Q44</f>
        <v>1248.42</v>
      </c>
      <c r="BH64" s="36">
        <f>RP_Data!R44</f>
        <v>1450.87</v>
      </c>
      <c r="BX64"/>
    </row>
    <row r="65" spans="1:76" ht="14.55" customHeight="1">
      <c r="X65" s="21"/>
      <c r="AR65" s="30" t="s">
        <v>3</v>
      </c>
      <c r="AS65" s="30" t="s">
        <v>133</v>
      </c>
      <c r="AT65" s="57">
        <f>RP_Data!D45</f>
        <v>5706.8899999999994</v>
      </c>
      <c r="AU65" s="57">
        <f>RP_Data!E45</f>
        <v>4871.91</v>
      </c>
      <c r="AV65" s="57">
        <f>RP_Data!F45</f>
        <v>3240.8500000000004</v>
      </c>
      <c r="AW65" s="57">
        <f>RP_Data!G45</f>
        <v>3523.29</v>
      </c>
      <c r="AX65" s="57">
        <f>RP_Data!H45</f>
        <v>2239.1899999999996</v>
      </c>
      <c r="AY65" s="57">
        <f>RP_Data!I45</f>
        <v>789.35</v>
      </c>
      <c r="BA65" s="15" t="s">
        <v>3</v>
      </c>
      <c r="BB65" s="15" t="s">
        <v>133</v>
      </c>
      <c r="BC65" s="36">
        <f>RP_Data!M45</f>
        <v>3416.7400000000002</v>
      </c>
      <c r="BD65" s="36">
        <f>RP_Data!N45</f>
        <v>3374.81</v>
      </c>
      <c r="BE65" s="36">
        <f>RP_Data!O45</f>
        <v>1997.1</v>
      </c>
      <c r="BF65" s="36">
        <f>RP_Data!P45</f>
        <v>2161.5700000000002</v>
      </c>
      <c r="BG65" s="36">
        <f>RP_Data!Q45</f>
        <v>1315.16</v>
      </c>
      <c r="BH65" s="36">
        <f>RP_Data!R45</f>
        <v>789.35</v>
      </c>
      <c r="BX65"/>
    </row>
    <row r="66" spans="1:76" ht="14.55" customHeight="1">
      <c r="X66" s="21"/>
      <c r="AR66" s="30" t="s">
        <v>4</v>
      </c>
      <c r="AS66" s="30" t="s">
        <v>134</v>
      </c>
      <c r="AT66" s="57">
        <f>RP_Data!D46</f>
        <v>10492.439999999997</v>
      </c>
      <c r="AU66" s="57">
        <f>RP_Data!E46</f>
        <v>13231.130000000001</v>
      </c>
      <c r="AV66" s="57">
        <f>RP_Data!F46</f>
        <v>10591.079999999998</v>
      </c>
      <c r="AW66" s="57">
        <f>RP_Data!G46</f>
        <v>9259.68</v>
      </c>
      <c r="AX66" s="57">
        <f>RP_Data!H46</f>
        <v>6295.7399999999989</v>
      </c>
      <c r="AY66" s="57">
        <f>RP_Data!I46</f>
        <v>2638.5800000000004</v>
      </c>
      <c r="BA66" s="15" t="s">
        <v>4</v>
      </c>
      <c r="BB66" s="15" t="s">
        <v>134</v>
      </c>
      <c r="BC66" s="36">
        <f>RP_Data!M46</f>
        <v>5272.84</v>
      </c>
      <c r="BD66" s="36">
        <f>RP_Data!N46</f>
        <v>7557.0599999999995</v>
      </c>
      <c r="BE66" s="36">
        <f>RP_Data!O46</f>
        <v>6111.9800000000005</v>
      </c>
      <c r="BF66" s="36">
        <f>RP_Data!P46</f>
        <v>5159.79</v>
      </c>
      <c r="BG66" s="36">
        <f>RP_Data!Q46</f>
        <v>3714.7499999999995</v>
      </c>
      <c r="BH66" s="36">
        <f>RP_Data!R46</f>
        <v>2638.5800000000004</v>
      </c>
      <c r="BX66"/>
    </row>
    <row r="67" spans="1:76" ht="14.55" customHeight="1">
      <c r="X67" s="21"/>
      <c r="AR67" s="30" t="s">
        <v>5</v>
      </c>
      <c r="AS67" s="30" t="s">
        <v>135</v>
      </c>
      <c r="AT67" s="57">
        <f>RP_Data!D47</f>
        <v>5098</v>
      </c>
      <c r="AU67" s="57">
        <f>RP_Data!E47</f>
        <v>5267.6100000000006</v>
      </c>
      <c r="AV67" s="57">
        <f>RP_Data!F47</f>
        <v>6617.33</v>
      </c>
      <c r="AW67" s="57">
        <f>RP_Data!G47</f>
        <v>4393.92</v>
      </c>
      <c r="AX67" s="57">
        <f>RP_Data!H47</f>
        <v>3432.94</v>
      </c>
      <c r="AY67" s="57">
        <f>RP_Data!I47</f>
        <v>1105.7599999999998</v>
      </c>
      <c r="BA67" s="15" t="s">
        <v>5</v>
      </c>
      <c r="BB67" s="15" t="s">
        <v>135</v>
      </c>
      <c r="BC67" s="36">
        <f>RP_Data!M47</f>
        <v>2325.14</v>
      </c>
      <c r="BD67" s="36">
        <f>RP_Data!N47</f>
        <v>2526.4499999999998</v>
      </c>
      <c r="BE67" s="36">
        <f>RP_Data!O47</f>
        <v>3307.66</v>
      </c>
      <c r="BF67" s="36">
        <f>RP_Data!P47</f>
        <v>2602.9899999999998</v>
      </c>
      <c r="BG67" s="36">
        <f>RP_Data!Q47</f>
        <v>2371.12</v>
      </c>
      <c r="BH67" s="36">
        <f>RP_Data!R47</f>
        <v>1105.7599999999998</v>
      </c>
      <c r="BX67"/>
    </row>
    <row r="68" spans="1:76" ht="14.55" customHeight="1">
      <c r="X68" s="21"/>
      <c r="AR68" s="30" t="s">
        <v>6</v>
      </c>
      <c r="AS68" s="30" t="s">
        <v>136</v>
      </c>
      <c r="AT68" s="57">
        <f>RP_Data!D48</f>
        <v>1997.77</v>
      </c>
      <c r="AU68" s="57">
        <f>RP_Data!E48</f>
        <v>2256.7999999999997</v>
      </c>
      <c r="AV68" s="57">
        <f>RP_Data!F48</f>
        <v>2146.3000000000002</v>
      </c>
      <c r="AW68" s="57">
        <f>RP_Data!G48</f>
        <v>2083.98</v>
      </c>
      <c r="AX68" s="57">
        <f>RP_Data!H48</f>
        <v>2702.76</v>
      </c>
      <c r="AY68" s="57">
        <f>RP_Data!I48</f>
        <v>911.54</v>
      </c>
      <c r="BA68" s="15" t="s">
        <v>6</v>
      </c>
      <c r="BB68" s="15" t="s">
        <v>136</v>
      </c>
      <c r="BC68" s="36">
        <f>RP_Data!M48</f>
        <v>794.76</v>
      </c>
      <c r="BD68" s="36">
        <f>RP_Data!N48</f>
        <v>988.99</v>
      </c>
      <c r="BE68" s="36">
        <f>RP_Data!O48</f>
        <v>1210.17</v>
      </c>
      <c r="BF68" s="36">
        <f>RP_Data!P48</f>
        <v>1025.46</v>
      </c>
      <c r="BG68" s="36">
        <f>RP_Data!Q48</f>
        <v>1066.43</v>
      </c>
      <c r="BH68" s="36">
        <f>RP_Data!R48</f>
        <v>911.54</v>
      </c>
      <c r="BX68"/>
    </row>
    <row r="69" spans="1:76" ht="14.55" customHeight="1">
      <c r="X69" s="21"/>
      <c r="AR69" s="30" t="s">
        <v>7</v>
      </c>
      <c r="AS69" s="30" t="s">
        <v>137</v>
      </c>
      <c r="AT69" s="57">
        <f>RP_Data!D49</f>
        <v>6320.91</v>
      </c>
      <c r="AU69" s="57">
        <f>RP_Data!E49</f>
        <v>2245.7800000000002</v>
      </c>
      <c r="AV69" s="57">
        <f>RP_Data!F49</f>
        <v>3213.4300000000003</v>
      </c>
      <c r="AW69" s="57">
        <f>RP_Data!G49</f>
        <v>2533.71</v>
      </c>
      <c r="AX69" s="57">
        <f>RP_Data!H49</f>
        <v>2407.21</v>
      </c>
      <c r="AY69" s="57">
        <f>RP_Data!I49</f>
        <v>863.71</v>
      </c>
      <c r="BA69" s="15" t="s">
        <v>7</v>
      </c>
      <c r="BB69" s="15" t="s">
        <v>137</v>
      </c>
      <c r="BC69" s="36">
        <f>RP_Data!M49</f>
        <v>1912.8899999999999</v>
      </c>
      <c r="BD69" s="36">
        <f>RP_Data!N49</f>
        <v>1270.2899999999997</v>
      </c>
      <c r="BE69" s="36">
        <f>RP_Data!O49</f>
        <v>1902.5300000000002</v>
      </c>
      <c r="BF69" s="36">
        <f>RP_Data!P49</f>
        <v>1669.6599999999999</v>
      </c>
      <c r="BG69" s="36">
        <f>RP_Data!Q49</f>
        <v>1136.1199999999999</v>
      </c>
      <c r="BH69" s="36">
        <f>RP_Data!R49</f>
        <v>863.71</v>
      </c>
      <c r="BX69"/>
    </row>
    <row r="70" spans="1:76" ht="14.55" customHeight="1">
      <c r="X70" s="21"/>
      <c r="AR70" s="30" t="s">
        <v>8</v>
      </c>
      <c r="AS70" s="30" t="s">
        <v>138</v>
      </c>
      <c r="AT70" s="57">
        <f>RP_Data!D50</f>
        <v>1543.2599999999998</v>
      </c>
      <c r="AU70" s="57">
        <f>RP_Data!E50</f>
        <v>1592.18</v>
      </c>
      <c r="AV70" s="57">
        <f>RP_Data!F50</f>
        <v>1261.01</v>
      </c>
      <c r="AW70" s="57">
        <f>RP_Data!G50</f>
        <v>1418.63</v>
      </c>
      <c r="AX70" s="57">
        <f>RP_Data!H50</f>
        <v>1178.24</v>
      </c>
      <c r="AY70" s="57">
        <f>RP_Data!I50</f>
        <v>587.75</v>
      </c>
      <c r="BA70" s="15" t="s">
        <v>8</v>
      </c>
      <c r="BB70" s="15" t="s">
        <v>138</v>
      </c>
      <c r="BC70" s="36">
        <f>RP_Data!M50</f>
        <v>854.34</v>
      </c>
      <c r="BD70" s="36">
        <f>RP_Data!N50</f>
        <v>1004.59</v>
      </c>
      <c r="BE70" s="36">
        <f>RP_Data!O50</f>
        <v>711.38</v>
      </c>
      <c r="BF70" s="36">
        <f>RP_Data!P50</f>
        <v>805.65000000000009</v>
      </c>
      <c r="BG70" s="36">
        <f>RP_Data!Q50</f>
        <v>575.04</v>
      </c>
      <c r="BH70" s="36">
        <f>RP_Data!R50</f>
        <v>587.75</v>
      </c>
      <c r="BX70"/>
    </row>
    <row r="71" spans="1:76" ht="14.55" customHeight="1">
      <c r="X71" s="21"/>
      <c r="AR71" s="30" t="s">
        <v>9</v>
      </c>
      <c r="AS71" s="30" t="s">
        <v>139</v>
      </c>
      <c r="AT71" s="57">
        <f>RP_Data!D51</f>
        <v>528.79999999999995</v>
      </c>
      <c r="AU71" s="57">
        <f>RP_Data!E51</f>
        <v>742</v>
      </c>
      <c r="AV71" s="57">
        <f>RP_Data!F51</f>
        <v>1043.8599999999999</v>
      </c>
      <c r="AW71" s="57">
        <f>RP_Data!G51</f>
        <v>1180.05</v>
      </c>
      <c r="AX71" s="57">
        <f>RP_Data!H51</f>
        <v>1150.25</v>
      </c>
      <c r="AY71" s="57">
        <f>RP_Data!I51</f>
        <v>534.9</v>
      </c>
      <c r="BA71" s="15" t="s">
        <v>9</v>
      </c>
      <c r="BB71" s="15" t="s">
        <v>139</v>
      </c>
      <c r="BC71" s="36">
        <f>RP_Data!M51</f>
        <v>213.8</v>
      </c>
      <c r="BD71" s="36">
        <f>RP_Data!N51</f>
        <v>451.75</v>
      </c>
      <c r="BE71" s="36">
        <f>RP_Data!O51</f>
        <v>558.34999999999991</v>
      </c>
      <c r="BF71" s="36">
        <f>RP_Data!P51</f>
        <v>722</v>
      </c>
      <c r="BG71" s="36">
        <f>RP_Data!Q51</f>
        <v>614.75</v>
      </c>
      <c r="BH71" s="36">
        <f>RP_Data!R51</f>
        <v>534.9</v>
      </c>
      <c r="BX71"/>
    </row>
    <row r="72" spans="1:76" ht="14.55" customHeight="1">
      <c r="X72" s="21"/>
      <c r="AR72" s="30" t="s">
        <v>10</v>
      </c>
      <c r="AS72" s="30" t="s">
        <v>140</v>
      </c>
      <c r="AT72" s="57">
        <f>RP_Data!D52</f>
        <v>1980.2699999999998</v>
      </c>
      <c r="AU72" s="57">
        <f>RP_Data!E52</f>
        <v>2340.04</v>
      </c>
      <c r="AV72" s="57">
        <f>RP_Data!F52</f>
        <v>1800.6100000000001</v>
      </c>
      <c r="AW72" s="57">
        <f>RP_Data!G52</f>
        <v>2964.48</v>
      </c>
      <c r="AX72" s="57">
        <f>RP_Data!H52</f>
        <v>2364.06</v>
      </c>
      <c r="AY72" s="57">
        <f>RP_Data!I52</f>
        <v>877.76</v>
      </c>
      <c r="BA72" s="15" t="s">
        <v>10</v>
      </c>
      <c r="BB72" s="15" t="s">
        <v>140</v>
      </c>
      <c r="BC72" s="36">
        <f>RP_Data!M52</f>
        <v>863.8</v>
      </c>
      <c r="BD72" s="36">
        <f>RP_Data!N52</f>
        <v>1312.9199999999998</v>
      </c>
      <c r="BE72" s="36">
        <f>RP_Data!O52</f>
        <v>1176.27</v>
      </c>
      <c r="BF72" s="36">
        <f>RP_Data!P52</f>
        <v>1515.13</v>
      </c>
      <c r="BG72" s="36">
        <f>RP_Data!Q52</f>
        <v>1391.79</v>
      </c>
      <c r="BH72" s="36">
        <f>RP_Data!R52</f>
        <v>877.76</v>
      </c>
      <c r="BX72"/>
    </row>
    <row r="73" spans="1:76" ht="14.55" customHeight="1">
      <c r="X73" s="21"/>
      <c r="AR73" s="30" t="s">
        <v>11</v>
      </c>
      <c r="AS73" s="30" t="s">
        <v>141</v>
      </c>
      <c r="AT73" s="57">
        <f>RP_Data!D53</f>
        <v>3306.23</v>
      </c>
      <c r="AU73" s="57">
        <f>RP_Data!E53</f>
        <v>3803.5699999999997</v>
      </c>
      <c r="AV73" s="57">
        <f>RP_Data!F53</f>
        <v>3546.77</v>
      </c>
      <c r="AW73" s="57">
        <f>RP_Data!G53</f>
        <v>4190.08</v>
      </c>
      <c r="AX73" s="57">
        <f>RP_Data!H53</f>
        <v>2656.0699999999997</v>
      </c>
      <c r="AY73" s="57">
        <f>RP_Data!I53</f>
        <v>674.37</v>
      </c>
      <c r="BA73" s="15" t="s">
        <v>11</v>
      </c>
      <c r="BB73" s="15" t="s">
        <v>141</v>
      </c>
      <c r="BC73" s="36">
        <f>RP_Data!M53</f>
        <v>1316.9</v>
      </c>
      <c r="BD73" s="36">
        <f>RP_Data!N53</f>
        <v>2089.8200000000002</v>
      </c>
      <c r="BE73" s="36">
        <f>RP_Data!O53</f>
        <v>1798.3899999999999</v>
      </c>
      <c r="BF73" s="36">
        <f>RP_Data!P53</f>
        <v>2232.7800000000002</v>
      </c>
      <c r="BG73" s="36">
        <f>RP_Data!Q53</f>
        <v>1433.47</v>
      </c>
      <c r="BH73" s="36">
        <f>RP_Data!R53</f>
        <v>674.37</v>
      </c>
      <c r="BX73"/>
    </row>
    <row r="74" spans="1:76" ht="14.55" customHeight="1">
      <c r="X74" s="21"/>
      <c r="AR74" s="30" t="s">
        <v>12</v>
      </c>
      <c r="AS74" s="30" t="s">
        <v>142</v>
      </c>
      <c r="AT74" s="57">
        <f>RP_Data!D54</f>
        <v>2250.2600000000002</v>
      </c>
      <c r="AU74" s="57">
        <f>RP_Data!E54</f>
        <v>2497.13</v>
      </c>
      <c r="AV74" s="57">
        <f>RP_Data!F54</f>
        <v>2585.48</v>
      </c>
      <c r="AW74" s="57">
        <f>RP_Data!G54</f>
        <v>3387.07</v>
      </c>
      <c r="AX74" s="57">
        <f>RP_Data!H54</f>
        <v>2686</v>
      </c>
      <c r="AY74" s="57">
        <f>RP_Data!I54</f>
        <v>902.25</v>
      </c>
      <c r="BA74" s="15" t="s">
        <v>12</v>
      </c>
      <c r="BB74" s="15" t="s">
        <v>142</v>
      </c>
      <c r="BC74" s="36">
        <f>RP_Data!M54</f>
        <v>1103.3599999999999</v>
      </c>
      <c r="BD74" s="36">
        <f>RP_Data!N54</f>
        <v>1271.7599999999998</v>
      </c>
      <c r="BE74" s="36">
        <f>RP_Data!O54</f>
        <v>1361.85</v>
      </c>
      <c r="BF74" s="36">
        <f>RP_Data!P54</f>
        <v>1945.12</v>
      </c>
      <c r="BG74" s="36">
        <f>RP_Data!Q54</f>
        <v>1401.55</v>
      </c>
      <c r="BH74" s="36">
        <f>RP_Data!R54</f>
        <v>902.25</v>
      </c>
      <c r="BX74"/>
    </row>
    <row r="75" spans="1:76" ht="14.25" customHeight="1">
      <c r="X75" s="21"/>
      <c r="AR75" s="30" t="s">
        <v>13</v>
      </c>
      <c r="AS75" s="30" t="s">
        <v>143</v>
      </c>
      <c r="AT75" s="57">
        <f>RP_Data!D55</f>
        <v>2177.67</v>
      </c>
      <c r="AU75" s="57">
        <f>RP_Data!E55</f>
        <v>1466.86</v>
      </c>
      <c r="AV75" s="57">
        <f>RP_Data!F55</f>
        <v>1183.8499999999999</v>
      </c>
      <c r="AW75" s="57">
        <f>RP_Data!G55</f>
        <v>1485.1</v>
      </c>
      <c r="AX75" s="57">
        <f>RP_Data!H55</f>
        <v>1057.4000000000001</v>
      </c>
      <c r="AY75" s="57">
        <f>RP_Data!I55</f>
        <v>306.75</v>
      </c>
      <c r="BA75" s="15" t="s">
        <v>13</v>
      </c>
      <c r="BB75" s="15" t="s">
        <v>143</v>
      </c>
      <c r="BC75" s="36">
        <f>RP_Data!M55</f>
        <v>862.24</v>
      </c>
      <c r="BD75" s="36">
        <f>RP_Data!N55</f>
        <v>827.51</v>
      </c>
      <c r="BE75" s="36">
        <f>RP_Data!O55</f>
        <v>561.25</v>
      </c>
      <c r="BF75" s="36">
        <f>RP_Data!P55</f>
        <v>744.45</v>
      </c>
      <c r="BG75" s="36">
        <f>RP_Data!Q55</f>
        <v>546.29999999999995</v>
      </c>
      <c r="BH75" s="36">
        <f>RP_Data!R55</f>
        <v>306.75</v>
      </c>
      <c r="BX75"/>
    </row>
    <row r="76" spans="1:76" ht="14.55" customHeight="1">
      <c r="X76" s="21"/>
      <c r="Y76" s="16"/>
      <c r="AR76" s="30" t="s">
        <v>14</v>
      </c>
      <c r="AS76" s="30" t="s">
        <v>144</v>
      </c>
      <c r="AT76" s="57">
        <f>RP_Data!D56</f>
        <v>550.49</v>
      </c>
      <c r="AU76" s="57">
        <f>RP_Data!E56</f>
        <v>531.91</v>
      </c>
      <c r="AV76" s="57">
        <f>RP_Data!F56</f>
        <v>537.65000000000009</v>
      </c>
      <c r="AW76" s="57">
        <f>RP_Data!G56</f>
        <v>635.5</v>
      </c>
      <c r="AX76" s="57">
        <f>RP_Data!H56</f>
        <v>275</v>
      </c>
      <c r="AY76" s="57">
        <f>RP_Data!I56</f>
        <v>229</v>
      </c>
      <c r="BA76" s="15" t="s">
        <v>14</v>
      </c>
      <c r="BB76" s="15" t="s">
        <v>144</v>
      </c>
      <c r="BC76" s="36">
        <f>RP_Data!M56</f>
        <v>282.75</v>
      </c>
      <c r="BD76" s="36">
        <f>RP_Data!N56</f>
        <v>370.15999999999997</v>
      </c>
      <c r="BE76" s="36">
        <f>RP_Data!O56</f>
        <v>339.07</v>
      </c>
      <c r="BF76" s="36">
        <f>RP_Data!P56</f>
        <v>256.5</v>
      </c>
      <c r="BG76" s="36">
        <f>RP_Data!Q56</f>
        <v>235</v>
      </c>
      <c r="BH76" s="36">
        <f>RP_Data!R56</f>
        <v>229</v>
      </c>
      <c r="BX76"/>
    </row>
    <row r="77" spans="1:76" ht="19.2" customHeight="1">
      <c r="X77" s="21"/>
      <c r="Y77" s="16"/>
      <c r="AR77" s="30" t="s">
        <v>15</v>
      </c>
      <c r="AS77" s="30" t="s">
        <v>145</v>
      </c>
      <c r="AT77" s="57">
        <f>RP_Data!D57</f>
        <v>174.68</v>
      </c>
      <c r="AU77" s="57">
        <f>RP_Data!E57</f>
        <v>184.7</v>
      </c>
      <c r="AV77" s="57">
        <f>RP_Data!F57</f>
        <v>242.05</v>
      </c>
      <c r="AW77" s="57">
        <f>RP_Data!G57</f>
        <v>496.8</v>
      </c>
      <c r="AX77" s="57">
        <f>RP_Data!H57</f>
        <v>312.2</v>
      </c>
      <c r="AY77" s="57">
        <f>RP_Data!I57</f>
        <v>77.300000000000011</v>
      </c>
      <c r="BA77" s="15" t="s">
        <v>15</v>
      </c>
      <c r="BB77" s="15" t="s">
        <v>145</v>
      </c>
      <c r="BC77" s="36">
        <f>RP_Data!M57</f>
        <v>84.429999999999993</v>
      </c>
      <c r="BD77" s="36">
        <f>RP_Data!N57</f>
        <v>136.69999999999999</v>
      </c>
      <c r="BE77" s="36">
        <f>RP_Data!O57</f>
        <v>209.8</v>
      </c>
      <c r="BF77" s="36">
        <f>RP_Data!P57</f>
        <v>363</v>
      </c>
      <c r="BG77" s="36">
        <f>RP_Data!Q57</f>
        <v>129.85000000000002</v>
      </c>
      <c r="BH77" s="36">
        <f>RP_Data!R57</f>
        <v>77.300000000000011</v>
      </c>
      <c r="BX77"/>
    </row>
    <row r="78" spans="1:76" s="10" customFormat="1" ht="14.5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21"/>
      <c r="Y78" s="16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 s="4"/>
      <c r="AR78" s="30" t="s">
        <v>27</v>
      </c>
      <c r="AS78" s="30" t="s">
        <v>29</v>
      </c>
      <c r="AT78" s="57">
        <f>RP_Data!D58</f>
        <v>49430.71</v>
      </c>
      <c r="AU78" s="57">
        <f>RP_Data!E58</f>
        <v>46620.68</v>
      </c>
      <c r="AV78" s="57">
        <f>RP_Data!F58</f>
        <v>44995.390000000007</v>
      </c>
      <c r="AW78" s="57">
        <f>RP_Data!G58</f>
        <v>43718.590000000004</v>
      </c>
      <c r="AX78" s="57">
        <f>RP_Data!H58</f>
        <v>36877.85</v>
      </c>
      <c r="AY78" s="57">
        <f>RP_Data!I58</f>
        <v>13674.15</v>
      </c>
      <c r="AZ78"/>
      <c r="BA78" s="15" t="s">
        <v>27</v>
      </c>
      <c r="BB78" s="14" t="s">
        <v>29</v>
      </c>
      <c r="BC78" s="36">
        <f>RP_Data!M58</f>
        <v>22981.930000000004</v>
      </c>
      <c r="BD78" s="36">
        <f>RP_Data!N58</f>
        <v>26051.819999999996</v>
      </c>
      <c r="BE78" s="36">
        <f>RP_Data!O58</f>
        <v>25107.649999999998</v>
      </c>
      <c r="BF78" s="36">
        <f>RP_Data!P58</f>
        <v>24963.32</v>
      </c>
      <c r="BG78" s="36">
        <f>RP_Data!Q58</f>
        <v>20123.03</v>
      </c>
      <c r="BH78" s="36">
        <f>RP_Data!R58</f>
        <v>13674.15</v>
      </c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X78"/>
    </row>
    <row r="79" spans="1:76" ht="14.55" customHeight="1">
      <c r="X79" s="21"/>
      <c r="Y79" s="16"/>
      <c r="AR79"/>
      <c r="BX79"/>
    </row>
    <row r="80" spans="1:76" ht="14.55" customHeight="1">
      <c r="X80" s="21"/>
      <c r="Y80" s="16"/>
      <c r="AR80"/>
      <c r="BX80"/>
    </row>
    <row r="81" spans="24:76" ht="14.55" customHeight="1">
      <c r="X81" s="21"/>
      <c r="Y81" s="16"/>
      <c r="AR81" s="30" t="s">
        <v>21</v>
      </c>
      <c r="AS81" s="30" t="s">
        <v>20</v>
      </c>
      <c r="AT81" s="30" t="s">
        <v>30</v>
      </c>
      <c r="AU81" s="30" t="s">
        <v>22</v>
      </c>
      <c r="AV81" s="30" t="s">
        <v>39</v>
      </c>
      <c r="AW81" s="30" t="s">
        <v>40</v>
      </c>
      <c r="AX81" s="30" t="s">
        <v>41</v>
      </c>
      <c r="AY81" s="30" t="s">
        <v>42</v>
      </c>
      <c r="AZ81" s="17"/>
      <c r="BA81" s="12" t="s">
        <v>21</v>
      </c>
      <c r="BB81" s="12" t="s">
        <v>20</v>
      </c>
      <c r="BC81" s="12" t="s">
        <v>30</v>
      </c>
      <c r="BD81" s="12" t="s">
        <v>22</v>
      </c>
      <c r="BE81" s="12" t="s">
        <v>39</v>
      </c>
      <c r="BF81" s="12" t="s">
        <v>40</v>
      </c>
      <c r="BG81" s="12" t="s">
        <v>41</v>
      </c>
      <c r="BH81" s="12" t="s">
        <v>42</v>
      </c>
      <c r="BX81"/>
    </row>
    <row r="82" spans="24:76" ht="14.55" customHeight="1">
      <c r="X82" s="21"/>
      <c r="Y82" s="16"/>
      <c r="AR82" s="30" t="s">
        <v>0</v>
      </c>
      <c r="AS82" s="30" t="s">
        <v>131</v>
      </c>
      <c r="AT82" s="57">
        <f>RP_Data!D62</f>
        <v>663</v>
      </c>
      <c r="AU82" s="57">
        <f>RP_Data!E62</f>
        <v>586</v>
      </c>
      <c r="AV82" s="57">
        <f>RP_Data!F62</f>
        <v>566</v>
      </c>
      <c r="AW82" s="57">
        <f>RP_Data!G62</f>
        <v>573</v>
      </c>
      <c r="AX82" s="57">
        <f>RP_Data!H62</f>
        <v>784</v>
      </c>
      <c r="AY82" s="57">
        <f>RP_Data!I62</f>
        <v>78</v>
      </c>
      <c r="BA82" s="15" t="s">
        <v>0</v>
      </c>
      <c r="BB82" s="15" t="s">
        <v>131</v>
      </c>
      <c r="BC82" s="36">
        <f>RP_Data!M62</f>
        <v>168</v>
      </c>
      <c r="BD82" s="36">
        <f>RP_Data!N62</f>
        <v>53</v>
      </c>
      <c r="BE82" s="36">
        <f>RP_Data!O62</f>
        <v>150</v>
      </c>
      <c r="BF82" s="36">
        <f>RP_Data!P62</f>
        <v>190</v>
      </c>
      <c r="BG82" s="36">
        <f>RP_Data!Q62</f>
        <v>250</v>
      </c>
      <c r="BH82" s="36">
        <f>RP_Data!R62</f>
        <v>78</v>
      </c>
      <c r="BX82"/>
    </row>
    <row r="83" spans="24:76" ht="14.55" customHeight="1">
      <c r="X83" s="21"/>
      <c r="Y83" s="16"/>
      <c r="AR83" s="30" t="s">
        <v>1</v>
      </c>
      <c r="AS83" s="30" t="s">
        <v>130</v>
      </c>
      <c r="AT83" s="57">
        <f>RP_Data!D63</f>
        <v>894</v>
      </c>
      <c r="AU83" s="57">
        <f>RP_Data!E63</f>
        <v>763</v>
      </c>
      <c r="AV83" s="57">
        <f>RP_Data!F63</f>
        <v>916</v>
      </c>
      <c r="AW83" s="57">
        <f>RP_Data!G63</f>
        <v>1034</v>
      </c>
      <c r="AX83" s="57">
        <f>RP_Data!H63</f>
        <v>720</v>
      </c>
      <c r="AY83" s="57">
        <f>RP_Data!I63</f>
        <v>76</v>
      </c>
      <c r="BA83" s="15" t="s">
        <v>1</v>
      </c>
      <c r="BB83" s="15" t="s">
        <v>130</v>
      </c>
      <c r="BC83" s="36">
        <f>RP_Data!M63</f>
        <v>305</v>
      </c>
      <c r="BD83" s="36">
        <f>RP_Data!N63</f>
        <v>293</v>
      </c>
      <c r="BE83" s="36">
        <f>RP_Data!O63</f>
        <v>423</v>
      </c>
      <c r="BF83" s="36">
        <f>RP_Data!P63</f>
        <v>317</v>
      </c>
      <c r="BG83" s="36">
        <f>RP_Data!Q63</f>
        <v>82</v>
      </c>
      <c r="BH83" s="36">
        <f>RP_Data!R63</f>
        <v>76</v>
      </c>
      <c r="BX83"/>
    </row>
    <row r="84" spans="24:76" ht="14.55" customHeight="1">
      <c r="X84" s="21"/>
      <c r="Y84" s="16"/>
      <c r="AR84" s="30" t="s">
        <v>2</v>
      </c>
      <c r="AS84" s="30" t="s">
        <v>132</v>
      </c>
      <c r="AT84" s="57">
        <f>RP_Data!D64</f>
        <v>137</v>
      </c>
      <c r="AU84" s="57">
        <f>RP_Data!E64</f>
        <v>181</v>
      </c>
      <c r="AV84" s="57">
        <f>RP_Data!F64</f>
        <v>186</v>
      </c>
      <c r="AW84" s="57">
        <f>RP_Data!G64</f>
        <v>119</v>
      </c>
      <c r="AX84" s="57">
        <f>RP_Data!H64</f>
        <v>178</v>
      </c>
      <c r="AY84" s="57">
        <f>RP_Data!I64</f>
        <v>23</v>
      </c>
      <c r="BA84" s="15" t="s">
        <v>2</v>
      </c>
      <c r="BB84" s="15" t="s">
        <v>132</v>
      </c>
      <c r="BC84" s="36">
        <f>RP_Data!M64</f>
        <v>9</v>
      </c>
      <c r="BD84" s="36">
        <f>RP_Data!N64</f>
        <v>114</v>
      </c>
      <c r="BE84" s="36">
        <f>RP_Data!O64</f>
        <v>20</v>
      </c>
      <c r="BF84" s="36">
        <f>RP_Data!P64</f>
        <v>25</v>
      </c>
      <c r="BG84" s="36">
        <f>RP_Data!Q64</f>
        <v>64</v>
      </c>
      <c r="BH84" s="36">
        <f>RP_Data!R64</f>
        <v>23</v>
      </c>
      <c r="BX84"/>
    </row>
    <row r="85" spans="24:76" ht="14.55" customHeight="1">
      <c r="X85" s="21"/>
      <c r="Y85" s="16"/>
      <c r="AR85" s="30" t="s">
        <v>3</v>
      </c>
      <c r="AS85" s="30" t="s">
        <v>133</v>
      </c>
      <c r="AT85" s="57">
        <f>RP_Data!D65</f>
        <v>1040</v>
      </c>
      <c r="AU85" s="57">
        <f>RP_Data!E65</f>
        <v>991</v>
      </c>
      <c r="AV85" s="57">
        <f>RP_Data!F65</f>
        <v>527</v>
      </c>
      <c r="AW85" s="57">
        <f>RP_Data!G65</f>
        <v>598</v>
      </c>
      <c r="AX85" s="57">
        <f>RP_Data!H65</f>
        <v>392</v>
      </c>
      <c r="AY85" s="57">
        <f>RP_Data!I65</f>
        <v>103</v>
      </c>
      <c r="BA85" s="15" t="s">
        <v>3</v>
      </c>
      <c r="BB85" s="15" t="s">
        <v>133</v>
      </c>
      <c r="BC85" s="36">
        <f>RP_Data!M65</f>
        <v>461</v>
      </c>
      <c r="BD85" s="36">
        <f>RP_Data!N65</f>
        <v>291</v>
      </c>
      <c r="BE85" s="36">
        <f>RP_Data!O65</f>
        <v>272</v>
      </c>
      <c r="BF85" s="36">
        <f>RP_Data!P65</f>
        <v>250</v>
      </c>
      <c r="BG85" s="36">
        <f>RP_Data!Q65</f>
        <v>205</v>
      </c>
      <c r="BH85" s="36">
        <f>RP_Data!R65</f>
        <v>103</v>
      </c>
      <c r="BX85"/>
    </row>
    <row r="86" spans="24:76" ht="14.55" customHeight="1">
      <c r="X86" s="21"/>
      <c r="Y86" s="16"/>
      <c r="AR86" s="30" t="s">
        <v>4</v>
      </c>
      <c r="AS86" s="30" t="s">
        <v>134</v>
      </c>
      <c r="AT86" s="57">
        <f>RP_Data!D66</f>
        <v>1005</v>
      </c>
      <c r="AU86" s="57">
        <f>RP_Data!E66</f>
        <v>383</v>
      </c>
      <c r="AV86" s="57">
        <f>RP_Data!F66</f>
        <v>439</v>
      </c>
      <c r="AW86" s="57">
        <f>RP_Data!G66</f>
        <v>932</v>
      </c>
      <c r="AX86" s="57">
        <f>RP_Data!H66</f>
        <v>369</v>
      </c>
      <c r="AY86" s="57">
        <f>RP_Data!I66</f>
        <v>489</v>
      </c>
      <c r="BA86" s="15" t="s">
        <v>4</v>
      </c>
      <c r="BB86" s="15" t="s">
        <v>134</v>
      </c>
      <c r="BC86" s="36">
        <f>RP_Data!M66</f>
        <v>569</v>
      </c>
      <c r="BD86" s="36">
        <f>RP_Data!N66</f>
        <v>197</v>
      </c>
      <c r="BE86" s="36">
        <f>RP_Data!O66</f>
        <v>186</v>
      </c>
      <c r="BF86" s="36">
        <f>RP_Data!P66</f>
        <v>509</v>
      </c>
      <c r="BG86" s="36">
        <f>RP_Data!Q66</f>
        <v>81</v>
      </c>
      <c r="BH86" s="36">
        <f>RP_Data!R66</f>
        <v>489</v>
      </c>
      <c r="BX86"/>
    </row>
    <row r="87" spans="24:76" ht="14.55" customHeight="1">
      <c r="X87" s="21"/>
      <c r="Y87" s="16"/>
      <c r="AR87" s="30" t="s">
        <v>5</v>
      </c>
      <c r="AS87" s="30" t="s">
        <v>135</v>
      </c>
      <c r="AT87" s="57">
        <f>RP_Data!D67</f>
        <v>246</v>
      </c>
      <c r="AU87" s="57">
        <f>RP_Data!E67</f>
        <v>516</v>
      </c>
      <c r="AV87" s="57">
        <f>RP_Data!F67</f>
        <v>561</v>
      </c>
      <c r="AW87" s="57">
        <f>RP_Data!G67</f>
        <v>226</v>
      </c>
      <c r="AX87" s="57">
        <f>RP_Data!H67</f>
        <v>76</v>
      </c>
      <c r="AY87" s="57">
        <f>RP_Data!I67</f>
        <v>127</v>
      </c>
      <c r="BA87" s="15" t="s">
        <v>5</v>
      </c>
      <c r="BB87" s="15" t="s">
        <v>135</v>
      </c>
      <c r="BC87" s="36">
        <f>RP_Data!M67</f>
        <v>177</v>
      </c>
      <c r="BD87" s="36">
        <f>RP_Data!N67</f>
        <v>59</v>
      </c>
      <c r="BE87" s="36">
        <f>RP_Data!O67</f>
        <v>244</v>
      </c>
      <c r="BF87" s="36">
        <f>RP_Data!P67</f>
        <v>96</v>
      </c>
      <c r="BG87" s="36">
        <f>RP_Data!Q67</f>
        <v>16</v>
      </c>
      <c r="BH87" s="36">
        <f>RP_Data!R67</f>
        <v>127</v>
      </c>
      <c r="BX87"/>
    </row>
    <row r="88" spans="24:76" ht="14.55" customHeight="1">
      <c r="X88" s="21"/>
      <c r="Y88" s="16"/>
      <c r="AR88" s="30" t="s">
        <v>6</v>
      </c>
      <c r="AS88" s="30" t="s">
        <v>136</v>
      </c>
      <c r="AT88" s="57">
        <f>RP_Data!D68</f>
        <v>234</v>
      </c>
      <c r="AU88" s="57">
        <f>RP_Data!E68</f>
        <v>497</v>
      </c>
      <c r="AV88" s="57">
        <f>RP_Data!F68</f>
        <v>818</v>
      </c>
      <c r="AW88" s="57">
        <f>RP_Data!G68</f>
        <v>1296</v>
      </c>
      <c r="AX88" s="57">
        <f>RP_Data!H68</f>
        <v>1097</v>
      </c>
      <c r="AY88" s="57">
        <f>RP_Data!I68</f>
        <v>166</v>
      </c>
      <c r="BA88" s="15" t="s">
        <v>6</v>
      </c>
      <c r="BB88" s="15" t="s">
        <v>136</v>
      </c>
      <c r="BC88" s="36">
        <f>RP_Data!M68</f>
        <v>3</v>
      </c>
      <c r="BD88" s="36">
        <f>RP_Data!N68</f>
        <v>240</v>
      </c>
      <c r="BE88" s="36">
        <f>RP_Data!O68</f>
        <v>415</v>
      </c>
      <c r="BF88" s="36">
        <f>RP_Data!P68</f>
        <v>363</v>
      </c>
      <c r="BG88" s="36">
        <f>RP_Data!Q68</f>
        <v>369</v>
      </c>
      <c r="BH88" s="36">
        <f>RP_Data!R68</f>
        <v>166</v>
      </c>
      <c r="BX88"/>
    </row>
    <row r="89" spans="24:76" ht="14.55" customHeight="1">
      <c r="X89" s="21"/>
      <c r="Y89" s="16"/>
      <c r="AR89" s="30" t="s">
        <v>7</v>
      </c>
      <c r="AS89" s="30" t="s">
        <v>137</v>
      </c>
      <c r="AT89" s="57">
        <f>RP_Data!D69</f>
        <v>145</v>
      </c>
      <c r="AU89" s="57">
        <f>RP_Data!E69</f>
        <v>173</v>
      </c>
      <c r="AV89" s="57">
        <f>RP_Data!F69</f>
        <v>213</v>
      </c>
      <c r="AW89" s="57">
        <f>RP_Data!G69</f>
        <v>114</v>
      </c>
      <c r="AX89" s="57">
        <f>RP_Data!H69</f>
        <v>110</v>
      </c>
      <c r="AY89" s="57">
        <f>RP_Data!I69</f>
        <v>8</v>
      </c>
      <c r="BA89" s="15" t="s">
        <v>7</v>
      </c>
      <c r="BB89" s="15" t="s">
        <v>137</v>
      </c>
      <c r="BC89" s="36">
        <f>RP_Data!M69</f>
        <v>22</v>
      </c>
      <c r="BD89" s="36">
        <f>RP_Data!N69</f>
        <v>32</v>
      </c>
      <c r="BE89" s="36">
        <f>RP_Data!O69</f>
        <v>41</v>
      </c>
      <c r="BF89" s="36">
        <f>RP_Data!P69</f>
        <v>8</v>
      </c>
      <c r="BG89" s="36">
        <f>RP_Data!Q69</f>
        <v>11</v>
      </c>
      <c r="BH89" s="36">
        <f>RP_Data!R69</f>
        <v>8</v>
      </c>
      <c r="BX89"/>
    </row>
    <row r="90" spans="24:76" ht="14.55" customHeight="1">
      <c r="X90" s="21"/>
      <c r="Y90" s="16"/>
      <c r="AR90" s="30" t="s">
        <v>8</v>
      </c>
      <c r="AS90" s="30" t="s">
        <v>138</v>
      </c>
      <c r="AT90" s="57">
        <f>RP_Data!D70</f>
        <v>423</v>
      </c>
      <c r="AU90" s="57">
        <f>RP_Data!E70</f>
        <v>451</v>
      </c>
      <c r="AV90" s="57">
        <f>RP_Data!F70</f>
        <v>224</v>
      </c>
      <c r="AW90" s="57">
        <f>RP_Data!G70</f>
        <v>260</v>
      </c>
      <c r="AX90" s="57">
        <f>RP_Data!H70</f>
        <v>55</v>
      </c>
      <c r="AY90" s="57">
        <f>RP_Data!I70</f>
        <v>10</v>
      </c>
      <c r="BA90" s="15" t="s">
        <v>8</v>
      </c>
      <c r="BB90" s="15" t="s">
        <v>138</v>
      </c>
      <c r="BC90" s="36">
        <f>RP_Data!M70</f>
        <v>263</v>
      </c>
      <c r="BD90" s="36">
        <f>RP_Data!N70</f>
        <v>260</v>
      </c>
      <c r="BE90" s="36">
        <f>RP_Data!O70</f>
        <v>69</v>
      </c>
      <c r="BF90" s="36">
        <f>RP_Data!P70</f>
        <v>190</v>
      </c>
      <c r="BG90" s="36">
        <f>RP_Data!Q70</f>
        <v>49</v>
      </c>
      <c r="BH90" s="36">
        <f>RP_Data!R70</f>
        <v>10</v>
      </c>
      <c r="BX90"/>
    </row>
    <row r="91" spans="24:76" ht="14.55" customHeight="1">
      <c r="X91" s="21"/>
      <c r="Y91" s="16"/>
      <c r="AR91" s="30" t="s">
        <v>9</v>
      </c>
      <c r="AS91" s="30" t="s">
        <v>139</v>
      </c>
      <c r="AT91" s="57">
        <f>RP_Data!D71</f>
        <v>71</v>
      </c>
      <c r="AU91" s="57">
        <f>RP_Data!E71</f>
        <v>114</v>
      </c>
      <c r="AV91" s="57">
        <f>RP_Data!F71</f>
        <v>447</v>
      </c>
      <c r="AW91" s="57">
        <f>RP_Data!G71</f>
        <v>331</v>
      </c>
      <c r="AX91" s="57">
        <f>RP_Data!H71</f>
        <v>48</v>
      </c>
      <c r="AY91" s="57">
        <f>RP_Data!I71</f>
        <v>17</v>
      </c>
      <c r="BA91" s="15" t="s">
        <v>9</v>
      </c>
      <c r="BB91" s="15" t="s">
        <v>139</v>
      </c>
      <c r="BC91" s="36">
        <f>RP_Data!M71</f>
        <v>35</v>
      </c>
      <c r="BD91" s="36">
        <f>RP_Data!N71</f>
        <v>51</v>
      </c>
      <c r="BE91" s="36">
        <f>RP_Data!O71</f>
        <v>284</v>
      </c>
      <c r="BF91" s="36">
        <f>RP_Data!P71</f>
        <v>201</v>
      </c>
      <c r="BG91" s="36">
        <f>RP_Data!Q71</f>
        <v>45</v>
      </c>
      <c r="BH91" s="36">
        <f>RP_Data!R71</f>
        <v>17</v>
      </c>
      <c r="BX91"/>
    </row>
    <row r="92" spans="24:76" ht="14.55" customHeight="1">
      <c r="X92" s="21"/>
      <c r="Y92" s="16"/>
      <c r="AR92" s="30" t="s">
        <v>10</v>
      </c>
      <c r="AS92" s="30" t="s">
        <v>140</v>
      </c>
      <c r="AT92" s="57">
        <f>RP_Data!D72</f>
        <v>350</v>
      </c>
      <c r="AU92" s="57">
        <f>RP_Data!E72</f>
        <v>247</v>
      </c>
      <c r="AV92" s="57">
        <f>RP_Data!F72</f>
        <v>264</v>
      </c>
      <c r="AW92" s="57">
        <f>RP_Data!G72</f>
        <v>320</v>
      </c>
      <c r="AX92" s="57">
        <f>RP_Data!H72</f>
        <v>213</v>
      </c>
      <c r="AY92" s="57">
        <f>RP_Data!I72</f>
        <v>130</v>
      </c>
      <c r="BA92" s="15" t="s">
        <v>10</v>
      </c>
      <c r="BB92" s="15" t="s">
        <v>140</v>
      </c>
      <c r="BC92" s="36">
        <f>RP_Data!M72</f>
        <v>128</v>
      </c>
      <c r="BD92" s="36">
        <f>RP_Data!N72</f>
        <v>119</v>
      </c>
      <c r="BE92" s="36">
        <f>RP_Data!O72</f>
        <v>123</v>
      </c>
      <c r="BF92" s="36">
        <f>RP_Data!P72</f>
        <v>219</v>
      </c>
      <c r="BG92" s="36">
        <f>RP_Data!Q72</f>
        <v>101</v>
      </c>
      <c r="BH92" s="36">
        <f>RP_Data!R72</f>
        <v>130</v>
      </c>
      <c r="BX92"/>
    </row>
    <row r="93" spans="24:76" ht="14.55" customHeight="1">
      <c r="X93" s="21"/>
      <c r="Y93" s="16"/>
      <c r="AR93" s="30" t="s">
        <v>11</v>
      </c>
      <c r="AS93" s="30" t="s">
        <v>141</v>
      </c>
      <c r="AT93" s="57">
        <f>RP_Data!D73</f>
        <v>760</v>
      </c>
      <c r="AU93" s="57">
        <f>RP_Data!E73</f>
        <v>495</v>
      </c>
      <c r="AV93" s="57">
        <f>RP_Data!F73</f>
        <v>625</v>
      </c>
      <c r="AW93" s="57">
        <f>RP_Data!G73</f>
        <v>624</v>
      </c>
      <c r="AX93" s="57">
        <f>RP_Data!H73</f>
        <v>636</v>
      </c>
      <c r="AY93" s="57">
        <f>RP_Data!I73</f>
        <v>201</v>
      </c>
      <c r="BA93" s="15" t="s">
        <v>11</v>
      </c>
      <c r="BB93" s="15" t="s">
        <v>141</v>
      </c>
      <c r="BC93" s="36">
        <f>RP_Data!M73</f>
        <v>511</v>
      </c>
      <c r="BD93" s="36">
        <f>RP_Data!N73</f>
        <v>214</v>
      </c>
      <c r="BE93" s="36">
        <f>RP_Data!O73</f>
        <v>238</v>
      </c>
      <c r="BF93" s="36">
        <f>RP_Data!P73</f>
        <v>263</v>
      </c>
      <c r="BG93" s="36">
        <f>RP_Data!Q73</f>
        <v>175</v>
      </c>
      <c r="BH93" s="36">
        <f>RP_Data!R73</f>
        <v>201</v>
      </c>
      <c r="BX93"/>
    </row>
    <row r="94" spans="24:76" ht="14.55" customHeight="1">
      <c r="X94" s="21"/>
      <c r="Y94" s="16"/>
      <c r="AR94" s="30" t="s">
        <v>12</v>
      </c>
      <c r="AS94" s="30" t="s">
        <v>142</v>
      </c>
      <c r="AT94" s="57">
        <f>RP_Data!D74</f>
        <v>263</v>
      </c>
      <c r="AU94" s="57">
        <f>RP_Data!E74</f>
        <v>327</v>
      </c>
      <c r="AV94" s="57">
        <f>RP_Data!F74</f>
        <v>514</v>
      </c>
      <c r="AW94" s="57">
        <f>RP_Data!G74</f>
        <v>842</v>
      </c>
      <c r="AX94" s="57">
        <f>RP_Data!H74</f>
        <v>789</v>
      </c>
      <c r="AY94" s="57">
        <f>RP_Data!I74</f>
        <v>288</v>
      </c>
      <c r="BA94" s="15" t="s">
        <v>12</v>
      </c>
      <c r="BB94" s="15" t="s">
        <v>142</v>
      </c>
      <c r="BC94" s="36">
        <f>RP_Data!M74</f>
        <v>89</v>
      </c>
      <c r="BD94" s="36">
        <f>RP_Data!N74</f>
        <v>158</v>
      </c>
      <c r="BE94" s="36">
        <f>RP_Data!O74</f>
        <v>355</v>
      </c>
      <c r="BF94" s="36">
        <f>RP_Data!P74</f>
        <v>448</v>
      </c>
      <c r="BG94" s="36">
        <f>RP_Data!Q74</f>
        <v>522</v>
      </c>
      <c r="BH94" s="36">
        <f>RP_Data!R74</f>
        <v>288</v>
      </c>
      <c r="BX94"/>
    </row>
    <row r="95" spans="24:76" ht="14.55" customHeight="1">
      <c r="X95" s="21"/>
      <c r="Y95" s="16"/>
      <c r="AR95" s="30" t="s">
        <v>13</v>
      </c>
      <c r="AS95" s="30" t="s">
        <v>143</v>
      </c>
      <c r="AT95" s="57">
        <f>RP_Data!D75</f>
        <v>185</v>
      </c>
      <c r="AU95" s="57">
        <f>RP_Data!E75</f>
        <v>189</v>
      </c>
      <c r="AV95" s="57">
        <f>RP_Data!F75</f>
        <v>242</v>
      </c>
      <c r="AW95" s="57">
        <f>RP_Data!G75</f>
        <v>254</v>
      </c>
      <c r="AX95" s="57">
        <f>RP_Data!H75</f>
        <v>233</v>
      </c>
      <c r="AY95" s="57">
        <f>RP_Data!I75</f>
        <v>29</v>
      </c>
      <c r="BA95" s="15" t="s">
        <v>13</v>
      </c>
      <c r="BB95" s="15" t="s">
        <v>143</v>
      </c>
      <c r="BC95" s="36">
        <f>RP_Data!M75</f>
        <v>36</v>
      </c>
      <c r="BD95" s="36">
        <f>RP_Data!N75</f>
        <v>27</v>
      </c>
      <c r="BE95" s="36">
        <f>RP_Data!O75</f>
        <v>68</v>
      </c>
      <c r="BF95" s="36">
        <f>RP_Data!P75</f>
        <v>68</v>
      </c>
      <c r="BG95" s="36">
        <f>RP_Data!Q75</f>
        <v>80</v>
      </c>
      <c r="BH95" s="36">
        <f>RP_Data!R75</f>
        <v>29</v>
      </c>
      <c r="BX95"/>
    </row>
    <row r="96" spans="24:76" ht="14.55" customHeight="1">
      <c r="X96" s="21"/>
      <c r="Y96" s="16"/>
      <c r="AR96" s="30" t="s">
        <v>14</v>
      </c>
      <c r="AS96" s="30" t="s">
        <v>144</v>
      </c>
      <c r="AT96" s="57">
        <f>RP_Data!D76</f>
        <v>0</v>
      </c>
      <c r="AU96" s="57">
        <f>RP_Data!E76</f>
        <v>0</v>
      </c>
      <c r="AV96" s="57">
        <f>RP_Data!F76</f>
        <v>0</v>
      </c>
      <c r="AW96" s="57">
        <f>RP_Data!G76</f>
        <v>0</v>
      </c>
      <c r="AX96" s="57">
        <f>RP_Data!H76</f>
        <v>0</v>
      </c>
      <c r="AY96" s="57">
        <f>RP_Data!I76</f>
        <v>0</v>
      </c>
      <c r="BA96" s="15" t="s">
        <v>14</v>
      </c>
      <c r="BB96" s="15" t="s">
        <v>144</v>
      </c>
      <c r="BC96" s="36">
        <f>RP_Data!M76</f>
        <v>0</v>
      </c>
      <c r="BD96" s="36">
        <f>RP_Data!N76</f>
        <v>0</v>
      </c>
      <c r="BE96" s="36">
        <f>RP_Data!O76</f>
        <v>0</v>
      </c>
      <c r="BF96" s="36">
        <f>RP_Data!P76</f>
        <v>0</v>
      </c>
      <c r="BG96" s="36">
        <f>RP_Data!Q76</f>
        <v>0</v>
      </c>
      <c r="BH96" s="36">
        <f>RP_Data!R76</f>
        <v>0</v>
      </c>
      <c r="BX96"/>
    </row>
    <row r="97" spans="1:93" ht="14.55" customHeight="1">
      <c r="X97" s="21"/>
      <c r="Y97" s="16"/>
      <c r="AR97" s="30" t="s">
        <v>15</v>
      </c>
      <c r="AS97" s="30" t="s">
        <v>145</v>
      </c>
      <c r="AT97" s="57">
        <f>RP_Data!D77</f>
        <v>0</v>
      </c>
      <c r="AU97" s="57">
        <f>RP_Data!E77</f>
        <v>3</v>
      </c>
      <c r="AV97" s="57">
        <f>RP_Data!F77</f>
        <v>0</v>
      </c>
      <c r="AW97" s="57">
        <f>RP_Data!G77</f>
        <v>37</v>
      </c>
      <c r="AX97" s="57">
        <f>RP_Data!H77</f>
        <v>1</v>
      </c>
      <c r="AY97" s="57">
        <f>RP_Data!I77</f>
        <v>0</v>
      </c>
      <c r="BA97" s="15" t="s">
        <v>15</v>
      </c>
      <c r="BB97" s="15" t="s">
        <v>145</v>
      </c>
      <c r="BC97" s="36">
        <f>RP_Data!M77</f>
        <v>0</v>
      </c>
      <c r="BD97" s="36">
        <f>RP_Data!N77</f>
        <v>0</v>
      </c>
      <c r="BE97" s="36">
        <f>RP_Data!O77</f>
        <v>0</v>
      </c>
      <c r="BF97" s="36">
        <f>RP_Data!P77</f>
        <v>4</v>
      </c>
      <c r="BG97" s="36">
        <f>RP_Data!Q77</f>
        <v>1</v>
      </c>
      <c r="BH97" s="36">
        <f>RP_Data!R77</f>
        <v>0</v>
      </c>
      <c r="BX97"/>
    </row>
    <row r="98" spans="1:93" ht="14.55" customHeight="1">
      <c r="X98" s="21"/>
      <c r="Y98" s="16"/>
      <c r="AR98" s="30" t="s">
        <v>27</v>
      </c>
      <c r="AS98" s="30" t="s">
        <v>29</v>
      </c>
      <c r="AT98" s="57">
        <f>RP_Data!D78</f>
        <v>6416</v>
      </c>
      <c r="AU98" s="57">
        <f>RP_Data!E78</f>
        <v>5916</v>
      </c>
      <c r="AV98" s="57">
        <f>RP_Data!F78</f>
        <v>6542</v>
      </c>
      <c r="AW98" s="57">
        <f>RP_Data!G78</f>
        <v>7560</v>
      </c>
      <c r="AX98" s="57">
        <f>RP_Data!H78</f>
        <v>5701</v>
      </c>
      <c r="AY98" s="57">
        <f>RP_Data!I78</f>
        <v>1745</v>
      </c>
      <c r="BA98" s="15" t="s">
        <v>27</v>
      </c>
      <c r="BB98" s="14" t="s">
        <v>29</v>
      </c>
      <c r="BC98" s="36">
        <f>RP_Data!M78</f>
        <v>2776</v>
      </c>
      <c r="BD98" s="36">
        <f>RP_Data!N78</f>
        <v>2108</v>
      </c>
      <c r="BE98" s="36">
        <f>RP_Data!O78</f>
        <v>2888</v>
      </c>
      <c r="BF98" s="36">
        <f>RP_Data!P78</f>
        <v>3151</v>
      </c>
      <c r="BG98" s="36">
        <f>RP_Data!Q78</f>
        <v>2051</v>
      </c>
      <c r="BH98" s="36">
        <f>RP_Data!R78</f>
        <v>1745</v>
      </c>
      <c r="BX98"/>
    </row>
    <row r="99" spans="1:93" ht="14.55" customHeight="1">
      <c r="X99" s="21"/>
      <c r="Y99" s="16"/>
      <c r="AR99"/>
      <c r="AZ99" s="10"/>
      <c r="BA99" s="10"/>
      <c r="BX99"/>
    </row>
    <row r="100" spans="1:93" ht="14.55" customHeight="1">
      <c r="X100" s="21"/>
      <c r="Y100" s="16"/>
      <c r="AR100"/>
      <c r="BX100"/>
    </row>
    <row r="101" spans="1:93" ht="14.55" customHeight="1">
      <c r="X101" s="21"/>
      <c r="Y101" s="16"/>
      <c r="AR101"/>
      <c r="BX101"/>
    </row>
    <row r="102" spans="1:93" ht="19.2" customHeight="1">
      <c r="X102" s="21"/>
      <c r="Y102" s="16"/>
      <c r="AR102"/>
      <c r="BX102"/>
    </row>
    <row r="103" spans="1:93" s="10" customFormat="1" ht="14.5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21"/>
      <c r="Y103" s="16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 s="4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</row>
    <row r="104" spans="1:93" ht="14.55" customHeight="1">
      <c r="X104" s="21"/>
      <c r="Y104" s="16"/>
      <c r="AR104"/>
      <c r="BX104"/>
    </row>
    <row r="105" spans="1:93" ht="14.55" customHeight="1">
      <c r="X105" s="21"/>
      <c r="Y105" s="16"/>
      <c r="AR105"/>
      <c r="BX105"/>
    </row>
    <row r="106" spans="1:93" ht="14.55" customHeight="1">
      <c r="X106" s="21"/>
      <c r="Y106" s="16"/>
      <c r="AR106"/>
      <c r="BX106"/>
    </row>
    <row r="107" spans="1:93" ht="14.55" customHeight="1">
      <c r="X107" s="21"/>
      <c r="Y107" s="16"/>
      <c r="AR107"/>
      <c r="BX107"/>
    </row>
    <row r="108" spans="1:93" ht="14.55" customHeight="1">
      <c r="X108" s="21"/>
      <c r="Y108" s="16"/>
      <c r="AR108"/>
      <c r="BX108"/>
    </row>
    <row r="109" spans="1:93" ht="14.55" customHeight="1">
      <c r="X109" s="21"/>
      <c r="Y109" s="16"/>
      <c r="AR109"/>
      <c r="BX109"/>
    </row>
    <row r="110" spans="1:93" ht="14.55" customHeight="1">
      <c r="X110" s="21"/>
      <c r="Y110" s="16"/>
      <c r="AR110"/>
      <c r="BX110"/>
    </row>
    <row r="111" spans="1:93" ht="14.55" customHeight="1">
      <c r="X111" s="21"/>
      <c r="Y111" s="16"/>
      <c r="AR111"/>
      <c r="BX111"/>
    </row>
    <row r="112" spans="1:93" ht="14.55" customHeight="1">
      <c r="X112" s="21"/>
      <c r="Y112" s="16"/>
      <c r="AR112"/>
      <c r="BX112"/>
    </row>
    <row r="113" spans="24:76" ht="14.55" customHeight="1">
      <c r="X113" s="21"/>
      <c r="Y113" s="16"/>
      <c r="AR113"/>
      <c r="BX113"/>
    </row>
    <row r="114" spans="24:76" ht="14.55" customHeight="1">
      <c r="X114" s="21"/>
      <c r="Y114" s="16"/>
      <c r="AR114"/>
      <c r="BX114"/>
    </row>
    <row r="115" spans="24:76" ht="14.55" customHeight="1">
      <c r="X115" s="21"/>
      <c r="Y115" s="16"/>
      <c r="AR115"/>
      <c r="BX115"/>
    </row>
    <row r="116" spans="24:76" ht="14.55" customHeight="1">
      <c r="X116" s="21"/>
      <c r="Y116" s="16"/>
      <c r="AR116"/>
      <c r="BX116"/>
    </row>
    <row r="117" spans="24:76" ht="14.55" customHeight="1">
      <c r="X117" s="21"/>
      <c r="Y117" s="16"/>
      <c r="AR117"/>
      <c r="BX117"/>
    </row>
    <row r="118" spans="24:76" ht="14.55" customHeight="1">
      <c r="X118" s="21"/>
      <c r="Y118" s="16"/>
      <c r="AR118"/>
      <c r="BX118"/>
    </row>
    <row r="119" spans="24:76" ht="14.55" customHeight="1">
      <c r="X119" s="21"/>
      <c r="Y119" s="16"/>
      <c r="AR119"/>
      <c r="BX119"/>
    </row>
    <row r="120" spans="24:76" ht="14.55" customHeight="1">
      <c r="X120" s="21"/>
      <c r="Y120" s="16"/>
      <c r="AR120"/>
      <c r="BX120"/>
    </row>
    <row r="121" spans="24:76" ht="14.55" customHeight="1">
      <c r="X121" s="21"/>
      <c r="Y121" s="16"/>
      <c r="AR121"/>
      <c r="BX121"/>
    </row>
    <row r="122" spans="24:76" ht="14.55" customHeight="1">
      <c r="X122" s="21"/>
      <c r="Y122" s="16"/>
      <c r="AR122"/>
      <c r="BX122"/>
    </row>
    <row r="123" spans="24:76" ht="14.55" customHeight="1">
      <c r="X123" s="21"/>
      <c r="Y123" s="16"/>
      <c r="AR123"/>
      <c r="BX123"/>
    </row>
    <row r="124" spans="24:76" ht="14.55" customHeight="1">
      <c r="X124" s="21"/>
      <c r="Y124" s="16"/>
      <c r="AR124"/>
      <c r="AZ124" s="10"/>
      <c r="BA124" s="10"/>
      <c r="BX124"/>
    </row>
    <row r="125" spans="24:76" ht="14.55" customHeight="1">
      <c r="X125" s="21"/>
      <c r="Y125" s="16"/>
      <c r="AR125"/>
      <c r="BX125"/>
    </row>
    <row r="126" spans="24:76" ht="14.55" customHeight="1">
      <c r="X126" s="21"/>
      <c r="Y126" s="16"/>
      <c r="AR126"/>
      <c r="BX126"/>
    </row>
    <row r="127" spans="24:76" ht="19.2" customHeight="1">
      <c r="X127" s="21"/>
      <c r="Y127" s="16"/>
      <c r="AR127"/>
      <c r="BX127"/>
    </row>
    <row r="128" spans="24:76" ht="14.55" customHeight="1">
      <c r="X128" s="21"/>
      <c r="Y128" s="16"/>
      <c r="AR128"/>
      <c r="BX128"/>
    </row>
    <row r="129" spans="1:93" s="10" customFormat="1" ht="14.5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21"/>
      <c r="Y129" s="16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 s="4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X129"/>
      <c r="BY129"/>
      <c r="BZ129"/>
      <c r="CA129"/>
      <c r="CB129"/>
      <c r="CC129"/>
      <c r="CD129"/>
      <c r="CE129"/>
      <c r="CF129"/>
      <c r="CG129"/>
      <c r="CH129"/>
      <c r="CI129"/>
      <c r="CJ129"/>
      <c r="CK129"/>
      <c r="CL129"/>
      <c r="CM129"/>
      <c r="CN129"/>
      <c r="CO129"/>
    </row>
    <row r="130" spans="1:93" ht="14.55" customHeight="1">
      <c r="X130" s="21"/>
      <c r="Y130" s="16"/>
      <c r="AR130"/>
      <c r="BX130"/>
    </row>
    <row r="131" spans="1:93" ht="14.55" customHeight="1">
      <c r="X131" s="21"/>
      <c r="Y131" s="16"/>
      <c r="AR131"/>
      <c r="BX131"/>
    </row>
    <row r="132" spans="1:93" ht="14.55" customHeight="1">
      <c r="X132" s="21"/>
      <c r="Y132" s="16"/>
      <c r="AR132"/>
      <c r="BX132"/>
    </row>
    <row r="133" spans="1:93" ht="14.55" customHeight="1">
      <c r="X133" s="21"/>
      <c r="Y133" s="16"/>
      <c r="AR133"/>
      <c r="BX133"/>
    </row>
    <row r="134" spans="1:93" ht="14.55" customHeight="1">
      <c r="X134" s="21"/>
      <c r="Y134" s="16"/>
      <c r="AR134"/>
      <c r="BX134"/>
    </row>
    <row r="135" spans="1:93" ht="14.55" customHeight="1">
      <c r="X135" s="21"/>
      <c r="Y135" s="16"/>
      <c r="AR135"/>
      <c r="BX135"/>
    </row>
    <row r="136" spans="1:93" ht="14.55" customHeight="1">
      <c r="X136" s="21"/>
      <c r="Y136" s="16"/>
      <c r="AR136"/>
      <c r="BX136"/>
    </row>
    <row r="137" spans="1:93" ht="14.55" customHeight="1">
      <c r="X137" s="21"/>
      <c r="Y137" s="16"/>
      <c r="AR137"/>
      <c r="BX137"/>
    </row>
    <row r="138" spans="1:93" ht="14.55" customHeight="1">
      <c r="X138" s="21"/>
      <c r="Y138" s="16"/>
      <c r="AR138"/>
      <c r="BX138"/>
    </row>
    <row r="139" spans="1:93" ht="14.55" customHeight="1">
      <c r="X139" s="21"/>
      <c r="Y139" s="16"/>
      <c r="AR139"/>
      <c r="BX139"/>
    </row>
    <row r="140" spans="1:93" ht="14.55" customHeight="1">
      <c r="X140" s="21"/>
      <c r="Y140" s="16"/>
      <c r="AR140"/>
      <c r="BX140"/>
    </row>
    <row r="141" spans="1:93" ht="14.55" customHeight="1">
      <c r="X141" s="21"/>
      <c r="Y141" s="16"/>
      <c r="AR141"/>
      <c r="BX141"/>
    </row>
    <row r="142" spans="1:93" ht="14.55" customHeight="1">
      <c r="X142" s="21"/>
      <c r="Y142" s="16"/>
      <c r="AR142"/>
      <c r="BX142"/>
    </row>
    <row r="143" spans="1:93" ht="14.55" customHeight="1">
      <c r="X143" s="21"/>
      <c r="Y143" s="16"/>
      <c r="AR143"/>
      <c r="BX143"/>
    </row>
    <row r="144" spans="1:93" ht="14.55" customHeight="1">
      <c r="X144" s="21"/>
      <c r="Y144" s="16"/>
      <c r="AR144"/>
      <c r="BX144"/>
    </row>
    <row r="145" spans="24:76" ht="14.55" customHeight="1">
      <c r="X145" s="21"/>
      <c r="Y145" s="16"/>
      <c r="AR145"/>
      <c r="BX145"/>
    </row>
    <row r="146" spans="24:76" ht="14.55" customHeight="1">
      <c r="X146" s="21"/>
      <c r="Y146" s="16"/>
      <c r="AR146"/>
      <c r="BX146"/>
    </row>
    <row r="147" spans="24:76" ht="14.55" customHeight="1">
      <c r="X147" s="21"/>
      <c r="Y147" s="16"/>
      <c r="AR147"/>
      <c r="BX147"/>
    </row>
    <row r="148" spans="24:76" ht="14.55" customHeight="1">
      <c r="X148" s="21"/>
      <c r="Y148" s="16"/>
      <c r="AR148"/>
      <c r="BX148"/>
    </row>
    <row r="149" spans="24:76" ht="14.55" customHeight="1">
      <c r="X149" s="21"/>
      <c r="Y149" s="16"/>
      <c r="AR149"/>
      <c r="BX149"/>
    </row>
    <row r="150" spans="24:76" ht="14.55" customHeight="1">
      <c r="X150" s="21"/>
      <c r="Y150" s="16"/>
      <c r="AR150"/>
      <c r="AZ150" s="10"/>
      <c r="BA150" s="10"/>
      <c r="BX150"/>
    </row>
    <row r="151" spans="24:76" ht="14.55" customHeight="1">
      <c r="X151" s="21"/>
      <c r="Y151" s="16"/>
      <c r="AR151"/>
      <c r="BX151"/>
    </row>
    <row r="152" spans="24:76" ht="19.2" customHeight="1">
      <c r="X152" s="21"/>
      <c r="Y152" s="16"/>
      <c r="AR152"/>
      <c r="BX152"/>
    </row>
    <row r="153" spans="24:76" ht="14.55" customHeight="1">
      <c r="X153" s="21"/>
      <c r="Y153" s="16"/>
      <c r="AR153"/>
      <c r="BX153"/>
    </row>
    <row r="154" spans="24:76" ht="14.55" customHeight="1">
      <c r="X154" s="21"/>
      <c r="Y154" s="16"/>
      <c r="AR154"/>
      <c r="BX154"/>
    </row>
    <row r="155" spans="24:76" ht="14.55" customHeight="1">
      <c r="X155" s="21"/>
      <c r="Y155" s="16"/>
      <c r="AR155"/>
      <c r="BX155"/>
    </row>
    <row r="156" spans="24:76" ht="14.55" customHeight="1">
      <c r="X156" s="21"/>
      <c r="Y156" s="16"/>
      <c r="AR156"/>
      <c r="BX156"/>
    </row>
    <row r="157" spans="24:76" ht="14.55" customHeight="1">
      <c r="X157" s="21"/>
      <c r="Y157" s="16"/>
      <c r="AR157"/>
      <c r="BX157"/>
    </row>
    <row r="158" spans="24:76" ht="14.55" customHeight="1">
      <c r="X158" s="21"/>
      <c r="Y158" s="16"/>
      <c r="AR158"/>
      <c r="BX158"/>
    </row>
    <row r="159" spans="24:76" ht="14.55" customHeight="1">
      <c r="X159" s="21"/>
      <c r="Y159" s="16"/>
      <c r="AR159"/>
      <c r="BX159"/>
    </row>
    <row r="160" spans="24:76" ht="14.55" customHeight="1">
      <c r="X160" s="21"/>
      <c r="Y160" s="16"/>
      <c r="AR160"/>
      <c r="BX160"/>
    </row>
    <row r="161" spans="24:76" ht="14.55" customHeight="1">
      <c r="X161" s="21"/>
      <c r="Y161" s="16"/>
      <c r="AR161"/>
      <c r="BX161"/>
    </row>
    <row r="162" spans="24:76" ht="14.55" customHeight="1">
      <c r="X162" s="21"/>
      <c r="Y162" s="16"/>
      <c r="AR162"/>
      <c r="BX162"/>
    </row>
    <row r="163" spans="24:76" ht="14.55" customHeight="1">
      <c r="X163" s="21"/>
      <c r="Y163" s="16"/>
      <c r="AR163"/>
      <c r="BX163"/>
    </row>
    <row r="164" spans="24:76" ht="14.55" customHeight="1">
      <c r="X164" s="21"/>
      <c r="Y164" s="16"/>
      <c r="AR164"/>
      <c r="BX164"/>
    </row>
    <row r="165" spans="24:76" ht="14.55" customHeight="1">
      <c r="X165" s="21"/>
      <c r="Y165" s="16"/>
      <c r="AR165"/>
      <c r="BX165"/>
    </row>
    <row r="166" spans="24:76" ht="14.55" customHeight="1">
      <c r="X166" s="21"/>
      <c r="Y166" s="16"/>
      <c r="AR166"/>
      <c r="BX166"/>
    </row>
    <row r="167" spans="24:76" ht="14.55" customHeight="1">
      <c r="X167" s="21"/>
      <c r="Y167" s="16"/>
      <c r="AR167"/>
      <c r="BX167"/>
    </row>
    <row r="168" spans="24:76" ht="14.55" customHeight="1">
      <c r="X168" s="21"/>
      <c r="Y168" s="16"/>
      <c r="AR168"/>
      <c r="BX168"/>
    </row>
    <row r="169" spans="24:76" ht="14.55" customHeight="1">
      <c r="X169" s="21"/>
      <c r="Y169" s="16"/>
      <c r="AR169"/>
      <c r="BX169"/>
    </row>
    <row r="170" spans="24:76" ht="14.55" customHeight="1">
      <c r="X170" s="21"/>
      <c r="Y170" s="16"/>
      <c r="AR170"/>
      <c r="BX170"/>
    </row>
    <row r="171" spans="24:76" ht="14.55" customHeight="1">
      <c r="X171" s="21"/>
      <c r="Y171" s="16"/>
      <c r="AR171"/>
      <c r="BX171"/>
    </row>
    <row r="172" spans="24:76" ht="14.55" customHeight="1">
      <c r="X172" s="21"/>
      <c r="Y172" s="16"/>
      <c r="AR172"/>
      <c r="BX172"/>
    </row>
    <row r="173" spans="24:76" ht="14.55" customHeight="1">
      <c r="X173" s="21"/>
      <c r="Y173" s="16"/>
      <c r="AR173"/>
      <c r="BX173"/>
    </row>
    <row r="174" spans="24:76" ht="14.55" customHeight="1">
      <c r="X174" s="21"/>
      <c r="Y174" s="16"/>
      <c r="AR174"/>
      <c r="BX174"/>
    </row>
    <row r="175" spans="24:76" ht="14.25" customHeight="1">
      <c r="X175" s="21"/>
      <c r="Y175" s="16"/>
      <c r="AR175"/>
      <c r="BX175"/>
    </row>
    <row r="176" spans="24:76" ht="14.55" customHeight="1">
      <c r="X176" s="21"/>
      <c r="Y176" s="16"/>
      <c r="AR176"/>
      <c r="BX176"/>
    </row>
    <row r="177" spans="24:76" ht="19.2" customHeight="1">
      <c r="X177" s="21"/>
      <c r="Y177" s="16"/>
      <c r="AR177"/>
      <c r="BX177"/>
    </row>
    <row r="178" spans="24:76" ht="14.55" customHeight="1">
      <c r="X178" s="21"/>
      <c r="Y178" s="16"/>
      <c r="AR178"/>
      <c r="BX178"/>
    </row>
    <row r="179" spans="24:76" ht="14.55" customHeight="1">
      <c r="X179" s="21"/>
      <c r="Y179" s="16"/>
      <c r="AR179"/>
      <c r="BX179"/>
    </row>
    <row r="180" spans="24:76" ht="14.55" customHeight="1">
      <c r="X180" s="21"/>
      <c r="Y180" s="16"/>
      <c r="AR180"/>
      <c r="BX180"/>
    </row>
    <row r="181" spans="24:76" ht="14.55" customHeight="1">
      <c r="X181" s="21"/>
      <c r="Y181" s="16"/>
      <c r="AR181"/>
      <c r="BX181"/>
    </row>
    <row r="182" spans="24:76" ht="14.55" customHeight="1">
      <c r="X182" s="21"/>
      <c r="Y182" s="16"/>
      <c r="AR182"/>
      <c r="BX182"/>
    </row>
    <row r="183" spans="24:76" ht="14.55" customHeight="1">
      <c r="X183" s="21"/>
      <c r="Y183" s="16"/>
      <c r="AR183"/>
      <c r="BX183"/>
    </row>
    <row r="184" spans="24:76" ht="14.55" customHeight="1">
      <c r="X184" s="21"/>
      <c r="Y184" s="16"/>
      <c r="AR184"/>
      <c r="BX184"/>
    </row>
    <row r="185" spans="24:76" ht="14.55" customHeight="1">
      <c r="X185" s="21"/>
      <c r="Y185" s="16"/>
      <c r="AR185"/>
      <c r="BX185"/>
    </row>
    <row r="186" spans="24:76" ht="14.55" customHeight="1">
      <c r="X186" s="21"/>
      <c r="Y186" s="16"/>
      <c r="AR186"/>
      <c r="BX186"/>
    </row>
    <row r="187" spans="24:76" ht="14.55" customHeight="1">
      <c r="X187" s="21"/>
      <c r="Y187" s="16"/>
      <c r="AR187"/>
      <c r="BX187"/>
    </row>
    <row r="188" spans="24:76" ht="14.55" customHeight="1">
      <c r="X188" s="21"/>
      <c r="Y188" s="16"/>
      <c r="AR188"/>
      <c r="BX188"/>
    </row>
    <row r="189" spans="24:76" ht="14.55" customHeight="1">
      <c r="X189" s="21"/>
      <c r="Y189" s="16"/>
      <c r="AR189"/>
      <c r="BX189"/>
    </row>
    <row r="190" spans="24:76" ht="14.55" customHeight="1">
      <c r="X190" s="21"/>
      <c r="Y190" s="16"/>
      <c r="AR190"/>
      <c r="BX190"/>
    </row>
    <row r="191" spans="24:76" ht="14.55" customHeight="1">
      <c r="X191" s="21"/>
      <c r="Y191" s="16"/>
      <c r="AR191"/>
      <c r="BX191"/>
    </row>
    <row r="192" spans="24:76" ht="14.55" customHeight="1">
      <c r="X192" s="21"/>
      <c r="Y192" s="16"/>
      <c r="AR192"/>
      <c r="BX192"/>
    </row>
    <row r="193" spans="24:76" ht="14.55" customHeight="1">
      <c r="X193" s="21"/>
      <c r="Y193" s="16"/>
      <c r="AR193"/>
      <c r="BX193"/>
    </row>
    <row r="194" spans="24:76" ht="14.55" customHeight="1">
      <c r="X194" s="21"/>
      <c r="Y194" s="16"/>
      <c r="AR194"/>
      <c r="BX194"/>
    </row>
    <row r="195" spans="24:76" ht="14.55" customHeight="1">
      <c r="X195" s="21"/>
      <c r="Y195" s="16"/>
      <c r="AR195"/>
      <c r="BX195"/>
    </row>
    <row r="196" spans="24:76" ht="14.55" customHeight="1">
      <c r="X196" s="21"/>
      <c r="Y196" s="16"/>
      <c r="AR196"/>
      <c r="BX196"/>
    </row>
    <row r="197" spans="24:76" ht="14.55" customHeight="1">
      <c r="X197" s="21"/>
      <c r="Y197" s="16"/>
      <c r="AR197"/>
      <c r="BX197"/>
    </row>
    <row r="198" spans="24:76" ht="14.55" customHeight="1">
      <c r="X198" s="21"/>
      <c r="Y198" s="16"/>
      <c r="AR198"/>
      <c r="BX198"/>
    </row>
    <row r="199" spans="24:76" ht="14.55" customHeight="1">
      <c r="X199" s="21"/>
      <c r="Y199" s="16"/>
      <c r="AR199"/>
      <c r="BX199"/>
    </row>
    <row r="200" spans="24:76" ht="13.5" customHeight="1">
      <c r="X200" s="21"/>
      <c r="Y200" s="16"/>
      <c r="AR200"/>
      <c r="BX200"/>
    </row>
    <row r="201" spans="24:76" ht="14.55" customHeight="1">
      <c r="X201" s="21"/>
      <c r="Y201" s="16"/>
      <c r="AR201"/>
      <c r="BX201"/>
    </row>
    <row r="202" spans="24:76" ht="19.2" customHeight="1">
      <c r="X202" s="21"/>
      <c r="Y202" s="16"/>
      <c r="AR202"/>
      <c r="BX202"/>
    </row>
    <row r="203" spans="24:76" ht="14.55" customHeight="1">
      <c r="X203" s="21"/>
      <c r="Y203" s="16"/>
      <c r="AR203"/>
      <c r="BX203"/>
    </row>
    <row r="204" spans="24:76" ht="14.55" customHeight="1">
      <c r="X204" s="21"/>
      <c r="Y204" s="16"/>
      <c r="AR204"/>
      <c r="BX204"/>
    </row>
    <row r="205" spans="24:76" ht="14.55" customHeight="1">
      <c r="X205" s="21"/>
      <c r="Y205" s="16"/>
      <c r="AR205"/>
      <c r="BX205"/>
    </row>
    <row r="206" spans="24:76" ht="14.55" customHeight="1">
      <c r="X206" s="21"/>
      <c r="Y206" s="16"/>
      <c r="AR206"/>
      <c r="BX206"/>
    </row>
    <row r="207" spans="24:76" ht="14.55" customHeight="1">
      <c r="X207" s="21"/>
      <c r="Y207" s="16"/>
      <c r="AR207"/>
      <c r="BX207"/>
    </row>
    <row r="208" spans="24:76" ht="14.55" customHeight="1">
      <c r="X208" s="21"/>
      <c r="Y208" s="16"/>
      <c r="AR208"/>
      <c r="BX208"/>
    </row>
    <row r="209" spans="24:76" ht="14.55" customHeight="1">
      <c r="X209" s="21"/>
      <c r="Y209" s="16"/>
      <c r="AR209"/>
      <c r="BX209"/>
    </row>
    <row r="210" spans="24:76" ht="14.55" customHeight="1">
      <c r="X210" s="21"/>
      <c r="Y210" s="16"/>
      <c r="AR210"/>
      <c r="BX210"/>
    </row>
    <row r="211" spans="24:76" ht="14.55" customHeight="1">
      <c r="X211" s="21"/>
      <c r="Y211" s="16"/>
      <c r="AR211"/>
      <c r="BX211"/>
    </row>
    <row r="212" spans="24:76" ht="14.55" customHeight="1">
      <c r="X212" s="21"/>
      <c r="Y212" s="16"/>
      <c r="AR212"/>
      <c r="BX212"/>
    </row>
    <row r="213" spans="24:76" ht="14.55" customHeight="1">
      <c r="X213" s="21"/>
      <c r="Y213" s="16"/>
      <c r="AR213"/>
      <c r="BX213"/>
    </row>
    <row r="214" spans="24:76" ht="14.55" customHeight="1">
      <c r="X214" s="21"/>
      <c r="Y214" s="16"/>
      <c r="AR214"/>
      <c r="BX214"/>
    </row>
    <row r="215" spans="24:76" ht="14.55" customHeight="1">
      <c r="X215" s="21"/>
      <c r="Y215" s="16"/>
      <c r="AR215"/>
      <c r="BX215"/>
    </row>
    <row r="216" spans="24:76" ht="14.55" customHeight="1">
      <c r="X216" s="21"/>
      <c r="Y216" s="16"/>
      <c r="AR216"/>
      <c r="BX216"/>
    </row>
    <row r="217" spans="24:76" ht="14.55" customHeight="1">
      <c r="X217" s="21"/>
      <c r="Y217" s="16"/>
      <c r="AR217"/>
      <c r="BX217"/>
    </row>
    <row r="218" spans="24:76" ht="14.55" customHeight="1">
      <c r="X218" s="21"/>
      <c r="Y218" s="16"/>
      <c r="AR218"/>
      <c r="BX218"/>
    </row>
    <row r="219" spans="24:76" ht="14.55" customHeight="1">
      <c r="X219" s="21"/>
      <c r="Y219" s="16"/>
      <c r="AR219"/>
      <c r="BX219"/>
    </row>
    <row r="220" spans="24:76" ht="14.55" customHeight="1">
      <c r="X220" s="21"/>
      <c r="Y220" s="16"/>
      <c r="AR220"/>
      <c r="BX220"/>
    </row>
    <row r="221" spans="24:76" ht="14.55" customHeight="1">
      <c r="X221" s="21"/>
      <c r="Y221" s="16"/>
      <c r="AR221"/>
      <c r="BX221"/>
    </row>
    <row r="222" spans="24:76" ht="14.55" customHeight="1">
      <c r="X222" s="21"/>
      <c r="Y222" s="16"/>
      <c r="AR222"/>
      <c r="BX222"/>
    </row>
    <row r="223" spans="24:76" ht="14.55" customHeight="1">
      <c r="X223" s="21"/>
      <c r="Y223" s="16"/>
      <c r="AR223"/>
      <c r="BX223"/>
    </row>
    <row r="224" spans="24:76" ht="14.55" customHeight="1">
      <c r="X224" s="21"/>
      <c r="Y224" s="16"/>
      <c r="AR224"/>
      <c r="BX224"/>
    </row>
    <row r="225" spans="24:76" ht="14.55" customHeight="1">
      <c r="X225" s="21"/>
      <c r="Y225" s="16"/>
      <c r="AR225"/>
      <c r="BX225"/>
    </row>
    <row r="226" spans="24:76" ht="14.55" customHeight="1">
      <c r="X226" s="21"/>
      <c r="Y226" s="16"/>
      <c r="AR226"/>
      <c r="BX226"/>
    </row>
    <row r="227" spans="24:76" ht="19.2" customHeight="1">
      <c r="X227" s="21"/>
      <c r="Y227" s="16"/>
      <c r="AR227"/>
      <c r="BX227"/>
    </row>
    <row r="228" spans="24:76" ht="14.55" customHeight="1">
      <c r="X228" s="21"/>
      <c r="Y228" s="16"/>
      <c r="AR228"/>
      <c r="BX228"/>
    </row>
    <row r="229" spans="24:76" ht="14.55" customHeight="1">
      <c r="X229" s="21"/>
      <c r="Y229" s="16"/>
      <c r="AR229"/>
      <c r="BX229"/>
    </row>
    <row r="230" spans="24:76" ht="14.55" customHeight="1">
      <c r="X230" s="21"/>
      <c r="Y230" s="16"/>
      <c r="AR230"/>
      <c r="BX230"/>
    </row>
    <row r="231" spans="24:76" ht="14.55" customHeight="1">
      <c r="X231" s="21"/>
      <c r="Y231" s="16"/>
      <c r="AR231"/>
      <c r="BX231"/>
    </row>
    <row r="232" spans="24:76" ht="14.55" customHeight="1">
      <c r="X232" s="21"/>
      <c r="Y232" s="16"/>
      <c r="AR232"/>
      <c r="BX232"/>
    </row>
    <row r="233" spans="24:76" ht="14.55" customHeight="1">
      <c r="X233" s="21"/>
      <c r="Y233" s="16"/>
      <c r="AR233"/>
      <c r="BX233"/>
    </row>
    <row r="234" spans="24:76" ht="14.55" customHeight="1">
      <c r="X234" s="21"/>
      <c r="Y234" s="16"/>
      <c r="AR234"/>
      <c r="BX234"/>
    </row>
    <row r="235" spans="24:76" ht="14.55" customHeight="1">
      <c r="X235" s="21"/>
      <c r="Y235" s="16"/>
      <c r="AR235"/>
      <c r="BX235"/>
    </row>
    <row r="236" spans="24:76" ht="14.55" customHeight="1">
      <c r="X236" s="21"/>
      <c r="Y236" s="16"/>
      <c r="AR236"/>
      <c r="BX236"/>
    </row>
    <row r="237" spans="24:76" ht="14.55" customHeight="1">
      <c r="X237" s="21"/>
      <c r="Y237" s="16"/>
      <c r="AR237"/>
      <c r="BX237"/>
    </row>
    <row r="238" spans="24:76" ht="14.55" customHeight="1">
      <c r="X238" s="21"/>
      <c r="Y238" s="16"/>
      <c r="AR238"/>
      <c r="BX238"/>
    </row>
    <row r="239" spans="24:76" ht="14.55" customHeight="1">
      <c r="X239" s="21"/>
      <c r="Y239" s="16"/>
      <c r="AR239"/>
      <c r="BX239"/>
    </row>
    <row r="240" spans="24:76" ht="14.55" customHeight="1">
      <c r="X240" s="21"/>
      <c r="Y240" s="16"/>
      <c r="AR240"/>
      <c r="BX240"/>
    </row>
    <row r="241" spans="24:76" ht="14.55" customHeight="1">
      <c r="X241" s="21"/>
      <c r="Y241" s="16"/>
      <c r="AR241"/>
      <c r="BX241"/>
    </row>
    <row r="242" spans="24:76" ht="14.55" customHeight="1">
      <c r="X242" s="21"/>
      <c r="Y242" s="16"/>
      <c r="AR242"/>
      <c r="BX242"/>
    </row>
    <row r="243" spans="24:76" ht="14.55" customHeight="1">
      <c r="X243" s="21"/>
      <c r="Y243" s="16"/>
      <c r="AR243"/>
      <c r="BX243"/>
    </row>
    <row r="244" spans="24:76" ht="14.55" customHeight="1">
      <c r="X244" s="21"/>
      <c r="Y244" s="16"/>
      <c r="AR244"/>
      <c r="BX244"/>
    </row>
    <row r="245" spans="24:76" ht="14.55" customHeight="1">
      <c r="X245" s="21"/>
      <c r="Y245" s="16"/>
      <c r="AR245"/>
      <c r="BX245"/>
    </row>
    <row r="246" spans="24:76" ht="14.55" customHeight="1">
      <c r="X246" s="21"/>
      <c r="Y246" s="16"/>
      <c r="AR246"/>
      <c r="BX246"/>
    </row>
    <row r="247" spans="24:76" ht="14.55" customHeight="1">
      <c r="X247" s="21"/>
      <c r="Y247" s="16"/>
      <c r="AR247"/>
      <c r="BX247"/>
    </row>
    <row r="248" spans="24:76" ht="14.55" customHeight="1">
      <c r="X248" s="21"/>
      <c r="Y248" s="16"/>
      <c r="AR248"/>
      <c r="BX248"/>
    </row>
    <row r="249" spans="24:76" ht="14.55" customHeight="1">
      <c r="X249" s="21"/>
      <c r="Y249" s="16"/>
      <c r="AR249"/>
      <c r="BX249"/>
    </row>
    <row r="250" spans="24:76" ht="14.55" customHeight="1">
      <c r="X250" s="21"/>
      <c r="Y250" s="16"/>
      <c r="AR250"/>
      <c r="BX250"/>
    </row>
    <row r="251" spans="24:76" ht="14.55" customHeight="1">
      <c r="X251" s="21"/>
      <c r="Y251" s="16"/>
      <c r="AR251"/>
      <c r="BX251"/>
    </row>
    <row r="252" spans="24:76" ht="19.2" customHeight="1">
      <c r="X252" s="21"/>
      <c r="Y252" s="16"/>
      <c r="AR252"/>
      <c r="BX252"/>
    </row>
    <row r="253" spans="24:76" ht="14.55" customHeight="1">
      <c r="X253" s="21"/>
      <c r="Y253" s="16"/>
      <c r="AR253"/>
      <c r="BX253"/>
    </row>
    <row r="254" spans="24:76" ht="14.55" customHeight="1">
      <c r="X254" s="21"/>
      <c r="Y254" s="16"/>
      <c r="AR254"/>
      <c r="BX254"/>
    </row>
    <row r="255" spans="24:76" ht="14.55" customHeight="1">
      <c r="X255" s="21"/>
      <c r="Y255" s="16"/>
      <c r="AR255"/>
      <c r="BX255"/>
    </row>
    <row r="256" spans="24:76" ht="14.55" customHeight="1">
      <c r="X256" s="21"/>
      <c r="Y256" s="16"/>
      <c r="AR256"/>
      <c r="BX256"/>
    </row>
    <row r="257" spans="24:76" ht="14.55" customHeight="1">
      <c r="X257" s="21"/>
      <c r="Y257" s="16"/>
      <c r="AR257"/>
      <c r="BX257"/>
    </row>
    <row r="258" spans="24:76" ht="14.55" customHeight="1">
      <c r="X258" s="21"/>
      <c r="Y258" s="16"/>
      <c r="AR258"/>
      <c r="BX258"/>
    </row>
    <row r="259" spans="24:76" ht="14.55" customHeight="1">
      <c r="X259" s="21"/>
      <c r="Y259" s="16"/>
      <c r="AR259"/>
      <c r="BX259"/>
    </row>
    <row r="260" spans="24:76" ht="14.55" customHeight="1">
      <c r="X260" s="21"/>
      <c r="Y260" s="16"/>
      <c r="AR260"/>
      <c r="BX260"/>
    </row>
    <row r="261" spans="24:76" ht="14.55" customHeight="1">
      <c r="X261" s="21"/>
      <c r="Y261" s="16"/>
      <c r="AR261"/>
      <c r="BX261"/>
    </row>
    <row r="262" spans="24:76" ht="14.55" customHeight="1">
      <c r="X262" s="21"/>
      <c r="Y262" s="16"/>
      <c r="AR262"/>
      <c r="BX262"/>
    </row>
    <row r="263" spans="24:76" ht="14.55" customHeight="1">
      <c r="X263" s="21"/>
      <c r="Y263" s="16"/>
      <c r="AR263"/>
      <c r="BX263"/>
    </row>
    <row r="264" spans="24:76" ht="14.55" customHeight="1">
      <c r="X264" s="21"/>
      <c r="Y264" s="16"/>
      <c r="AR264"/>
      <c r="BX264"/>
    </row>
    <row r="265" spans="24:76" ht="14.55" customHeight="1">
      <c r="X265" s="21"/>
      <c r="Y265" s="16"/>
      <c r="AR265"/>
      <c r="BX265"/>
    </row>
    <row r="266" spans="24:76" ht="14.55" customHeight="1">
      <c r="X266" s="21"/>
      <c r="Y266" s="16"/>
      <c r="AR266"/>
      <c r="BX266"/>
    </row>
    <row r="267" spans="24:76" ht="14.55" customHeight="1">
      <c r="X267" s="21"/>
      <c r="Y267" s="16"/>
      <c r="AR267"/>
      <c r="BX267"/>
    </row>
    <row r="268" spans="24:76" ht="14.55" customHeight="1">
      <c r="X268" s="21"/>
      <c r="Y268" s="16"/>
      <c r="AR268"/>
      <c r="BX268"/>
    </row>
    <row r="269" spans="24:76" ht="14.55" customHeight="1">
      <c r="X269" s="21"/>
      <c r="Y269" s="16"/>
      <c r="AR269"/>
      <c r="BX269"/>
    </row>
    <row r="270" spans="24:76" ht="14.55" customHeight="1">
      <c r="X270" s="21"/>
      <c r="Y270" s="16"/>
      <c r="AR270"/>
      <c r="BX270"/>
    </row>
    <row r="271" spans="24:76" ht="14.55" customHeight="1">
      <c r="X271" s="21"/>
      <c r="Y271" s="16"/>
      <c r="AR271"/>
      <c r="BX271"/>
    </row>
    <row r="272" spans="24:76" ht="14.55" customHeight="1">
      <c r="X272" s="21"/>
      <c r="Y272" s="16"/>
      <c r="AR272"/>
      <c r="BX272"/>
    </row>
    <row r="273" spans="24:76" ht="14.55" customHeight="1">
      <c r="X273" s="21"/>
      <c r="Y273" s="16"/>
      <c r="AR273"/>
      <c r="BX273"/>
    </row>
    <row r="274" spans="24:76" ht="14.55" customHeight="1">
      <c r="X274" s="21"/>
      <c r="Y274" s="16"/>
      <c r="AR274"/>
      <c r="BX274"/>
    </row>
    <row r="275" spans="24:76" ht="14.55" customHeight="1">
      <c r="X275" s="21"/>
      <c r="Y275" s="16"/>
      <c r="AR275"/>
      <c r="BX275"/>
    </row>
    <row r="276" spans="24:76" ht="14.55" customHeight="1">
      <c r="X276" s="21"/>
      <c r="Y276" s="16"/>
      <c r="AR276"/>
      <c r="BX276"/>
    </row>
    <row r="277" spans="24:76" ht="19.2" customHeight="1">
      <c r="X277" s="21"/>
      <c r="Y277" s="16"/>
      <c r="AR277"/>
      <c r="BX277"/>
    </row>
    <row r="278" spans="24:76" ht="14.55" customHeight="1">
      <c r="X278" s="21"/>
      <c r="Y278" s="16"/>
      <c r="AR278"/>
      <c r="BX278"/>
    </row>
    <row r="279" spans="24:76" ht="14.55" customHeight="1">
      <c r="X279" s="21"/>
      <c r="Y279" s="16"/>
      <c r="AR279"/>
      <c r="BX279"/>
    </row>
    <row r="280" spans="24:76" ht="14.55" customHeight="1">
      <c r="X280" s="21"/>
      <c r="Y280" s="16"/>
      <c r="AR280"/>
      <c r="BX280"/>
    </row>
    <row r="281" spans="24:76" ht="14.55" customHeight="1">
      <c r="X281" s="21"/>
      <c r="Y281" s="16"/>
      <c r="AR281"/>
      <c r="BX281"/>
    </row>
    <row r="282" spans="24:76" ht="14.55" customHeight="1">
      <c r="X282" s="21"/>
      <c r="Y282" s="16"/>
      <c r="AR282"/>
      <c r="BX282"/>
    </row>
    <row r="283" spans="24:76" ht="14.55" customHeight="1">
      <c r="X283" s="21"/>
      <c r="Y283" s="16"/>
      <c r="AR283"/>
      <c r="BX283"/>
    </row>
    <row r="284" spans="24:76" ht="14.55" customHeight="1">
      <c r="X284" s="21"/>
      <c r="Y284" s="16"/>
      <c r="AR284"/>
      <c r="BX284"/>
    </row>
    <row r="285" spans="24:76" ht="14.55" customHeight="1">
      <c r="X285" s="21"/>
      <c r="Y285" s="16"/>
      <c r="AR285"/>
      <c r="BX285"/>
    </row>
    <row r="286" spans="24:76" ht="14.55" customHeight="1">
      <c r="X286" s="21"/>
      <c r="Y286" s="16"/>
      <c r="AR286"/>
      <c r="BX286"/>
    </row>
    <row r="287" spans="24:76" ht="14.55" customHeight="1">
      <c r="X287" s="21"/>
      <c r="Y287" s="16"/>
      <c r="AR287"/>
      <c r="BX287"/>
    </row>
    <row r="288" spans="24:76" ht="14.55" customHeight="1">
      <c r="X288" s="21"/>
      <c r="Y288" s="16"/>
      <c r="AR288"/>
      <c r="BX288"/>
    </row>
    <row r="289" spans="24:76" ht="14.55" customHeight="1">
      <c r="X289" s="21"/>
      <c r="Y289" s="16"/>
      <c r="AR289"/>
      <c r="BX289"/>
    </row>
    <row r="290" spans="24:76" ht="14.55" customHeight="1">
      <c r="X290" s="21"/>
      <c r="Y290" s="16"/>
      <c r="AR290"/>
      <c r="BX290"/>
    </row>
    <row r="291" spans="24:76" ht="14.55" customHeight="1">
      <c r="X291" s="21"/>
      <c r="Y291" s="16"/>
      <c r="AR291"/>
      <c r="BX291"/>
    </row>
    <row r="292" spans="24:76" ht="14.55" customHeight="1">
      <c r="X292" s="21"/>
      <c r="Y292" s="16"/>
      <c r="AR292"/>
      <c r="BX292"/>
    </row>
    <row r="293" spans="24:76" ht="14.55" customHeight="1">
      <c r="X293" s="21"/>
      <c r="Y293" s="16"/>
      <c r="AR293"/>
      <c r="BX293"/>
    </row>
    <row r="294" spans="24:76" ht="14.55" customHeight="1">
      <c r="X294" s="21"/>
      <c r="Y294" s="16"/>
      <c r="AR294"/>
      <c r="BX294"/>
    </row>
    <row r="295" spans="24:76" ht="14.55" customHeight="1">
      <c r="X295" s="21"/>
      <c r="Y295" s="16"/>
      <c r="AR295"/>
      <c r="BX295"/>
    </row>
    <row r="296" spans="24:76" ht="14.55" customHeight="1">
      <c r="X296" s="21"/>
      <c r="Y296" s="16"/>
      <c r="AR296"/>
      <c r="BX296"/>
    </row>
    <row r="297" spans="24:76" ht="14.55" customHeight="1">
      <c r="X297" s="21"/>
      <c r="Y297" s="16"/>
      <c r="AR297"/>
      <c r="BX297"/>
    </row>
    <row r="298" spans="24:76" ht="14.55" customHeight="1">
      <c r="X298" s="21"/>
      <c r="Y298" s="16"/>
      <c r="AR298"/>
      <c r="BX298"/>
    </row>
    <row r="299" spans="24:76" ht="14.55" customHeight="1">
      <c r="X299" s="21"/>
      <c r="Y299" s="16"/>
      <c r="AR299"/>
      <c r="BX299"/>
    </row>
    <row r="300" spans="24:76" ht="14.55" customHeight="1">
      <c r="X300" s="21"/>
      <c r="Y300" s="16"/>
      <c r="AR300"/>
      <c r="BX300"/>
    </row>
    <row r="301" spans="24:76" ht="14.55" customHeight="1">
      <c r="X301" s="21"/>
      <c r="Y301" s="16"/>
      <c r="AR301"/>
      <c r="BX301"/>
    </row>
    <row r="302" spans="24:76" ht="19.2" customHeight="1">
      <c r="X302" s="21"/>
      <c r="Y302" s="16"/>
      <c r="AR302"/>
      <c r="BX302"/>
    </row>
    <row r="303" spans="24:76" ht="14.55" customHeight="1">
      <c r="X303" s="21"/>
      <c r="Y303" s="16"/>
      <c r="AR303"/>
      <c r="BX303"/>
    </row>
    <row r="304" spans="24:76" ht="14.55" customHeight="1">
      <c r="X304" s="21"/>
      <c r="Y304" s="16"/>
      <c r="AR304"/>
      <c r="BX304"/>
    </row>
    <row r="305" spans="24:76" ht="14.55" customHeight="1">
      <c r="X305" s="21"/>
      <c r="Y305" s="16"/>
      <c r="AR305"/>
      <c r="BX305"/>
    </row>
    <row r="306" spans="24:76" ht="14.55" customHeight="1">
      <c r="X306" s="21"/>
      <c r="Y306" s="16"/>
      <c r="AR306"/>
      <c r="BX306"/>
    </row>
    <row r="307" spans="24:76" ht="14.55" customHeight="1">
      <c r="X307" s="21"/>
      <c r="Y307" s="16"/>
      <c r="AR307"/>
      <c r="BX307"/>
    </row>
    <row r="308" spans="24:76" ht="14.55" customHeight="1">
      <c r="X308" s="21"/>
      <c r="Y308" s="16"/>
      <c r="AR308"/>
      <c r="BX308"/>
    </row>
    <row r="309" spans="24:76" ht="14.55" customHeight="1">
      <c r="X309" s="21"/>
      <c r="Y309" s="16"/>
      <c r="AR309"/>
      <c r="BX309"/>
    </row>
    <row r="310" spans="24:76" ht="14.55" customHeight="1">
      <c r="X310" s="21"/>
      <c r="Y310" s="16"/>
      <c r="AR310"/>
      <c r="BX310"/>
    </row>
    <row r="311" spans="24:76" ht="14.55" customHeight="1">
      <c r="X311" s="21"/>
      <c r="Y311" s="16"/>
      <c r="AR311"/>
      <c r="BX311"/>
    </row>
    <row r="312" spans="24:76" ht="14.55" customHeight="1">
      <c r="X312" s="21"/>
      <c r="Y312" s="16"/>
      <c r="AR312"/>
      <c r="BX312"/>
    </row>
    <row r="313" spans="24:76" ht="14.55" customHeight="1">
      <c r="X313" s="21"/>
      <c r="Y313" s="16"/>
      <c r="AR313"/>
      <c r="BX313"/>
    </row>
    <row r="314" spans="24:76" ht="14.55" customHeight="1">
      <c r="X314" s="21"/>
      <c r="Y314" s="16"/>
      <c r="AR314"/>
      <c r="BX314"/>
    </row>
    <row r="315" spans="24:76" ht="14.55" customHeight="1">
      <c r="X315" s="21"/>
      <c r="Y315" s="16"/>
      <c r="AR315"/>
      <c r="BX315"/>
    </row>
    <row r="316" spans="24:76" ht="14.55" customHeight="1">
      <c r="X316" s="21"/>
      <c r="Y316" s="16"/>
      <c r="AR316"/>
      <c r="BX316"/>
    </row>
    <row r="317" spans="24:76" ht="14.55" customHeight="1">
      <c r="X317" s="21"/>
      <c r="Y317" s="16"/>
      <c r="AR317"/>
      <c r="BX317"/>
    </row>
    <row r="318" spans="24:76" ht="14.55" customHeight="1">
      <c r="X318" s="21"/>
      <c r="Y318" s="16"/>
      <c r="AR318"/>
      <c r="BX318"/>
    </row>
    <row r="319" spans="24:76" ht="14.55" customHeight="1">
      <c r="X319" s="21"/>
      <c r="Y319" s="16"/>
      <c r="AR319"/>
      <c r="BX319"/>
    </row>
    <row r="320" spans="24:76" ht="14.55" customHeight="1">
      <c r="X320" s="21"/>
      <c r="Y320" s="16"/>
      <c r="AR320"/>
      <c r="BX320"/>
    </row>
    <row r="321" spans="24:76" ht="14.55" customHeight="1">
      <c r="X321" s="21"/>
      <c r="Y321" s="16"/>
      <c r="AR321"/>
      <c r="BX321"/>
    </row>
    <row r="322" spans="24:76" ht="14.55" customHeight="1">
      <c r="X322" s="21"/>
      <c r="Y322" s="16"/>
      <c r="AR322"/>
      <c r="BX322"/>
    </row>
    <row r="323" spans="24:76" ht="14.55" customHeight="1">
      <c r="X323" s="21"/>
      <c r="Y323" s="16"/>
      <c r="AR323"/>
      <c r="BX323"/>
    </row>
    <row r="324" spans="24:76" ht="14.55" customHeight="1">
      <c r="X324" s="21"/>
      <c r="Y324" s="16"/>
      <c r="AR324"/>
      <c r="BX324"/>
    </row>
    <row r="325" spans="24:76" ht="14.55" customHeight="1">
      <c r="X325" s="21"/>
      <c r="Y325" s="16"/>
      <c r="AR325"/>
      <c r="BX325"/>
    </row>
    <row r="326" spans="24:76" ht="14.55" customHeight="1">
      <c r="X326" s="21"/>
      <c r="Y326" s="16"/>
      <c r="AR326"/>
      <c r="BX326"/>
    </row>
    <row r="327" spans="24:76" ht="14.55" customHeight="1">
      <c r="X327" s="21"/>
      <c r="Y327" s="16"/>
      <c r="AR327"/>
      <c r="BX327"/>
    </row>
    <row r="328" spans="24:76" ht="14.55" customHeight="1">
      <c r="X328" s="21"/>
      <c r="Y328" s="16"/>
      <c r="AR328"/>
      <c r="BX328"/>
    </row>
    <row r="329" spans="24:76" ht="14.55" customHeight="1">
      <c r="X329" s="21"/>
      <c r="Y329" s="16"/>
      <c r="AR329"/>
      <c r="BX329"/>
    </row>
    <row r="330" spans="24:76">
      <c r="X330" s="21"/>
      <c r="Y330" s="16"/>
      <c r="AR330"/>
      <c r="BX330"/>
    </row>
    <row r="331" spans="24:76">
      <c r="X331" s="21"/>
      <c r="Y331" s="16"/>
      <c r="AR331"/>
      <c r="BX331"/>
    </row>
    <row r="332" spans="24:76">
      <c r="X332" s="21"/>
      <c r="Y332" s="16"/>
      <c r="AR332"/>
      <c r="BX332"/>
    </row>
    <row r="333" spans="24:76">
      <c r="X333" s="21"/>
      <c r="Y333" s="16"/>
      <c r="AR333"/>
      <c r="BX333"/>
    </row>
    <row r="334" spans="24:76">
      <c r="X334" s="21"/>
      <c r="Y334" s="16"/>
      <c r="AR334"/>
      <c r="BX334"/>
    </row>
    <row r="335" spans="24:76">
      <c r="X335" s="21"/>
      <c r="Y335" s="16"/>
      <c r="AR335"/>
      <c r="BX335"/>
    </row>
    <row r="336" spans="24:76">
      <c r="X336" s="21"/>
      <c r="Y336" s="16"/>
      <c r="AR336"/>
      <c r="BX336"/>
    </row>
    <row r="337" spans="24:76">
      <c r="X337" s="21"/>
      <c r="Y337" s="16"/>
      <c r="AR337"/>
      <c r="BX337"/>
    </row>
    <row r="338" spans="24:76">
      <c r="X338" s="21"/>
      <c r="Y338" s="16"/>
      <c r="AR338"/>
      <c r="BX338"/>
    </row>
    <row r="339" spans="24:76">
      <c r="X339" s="21"/>
      <c r="Y339" s="16"/>
      <c r="AR339"/>
      <c r="BX339"/>
    </row>
    <row r="340" spans="24:76">
      <c r="X340" s="21"/>
      <c r="Y340" s="16"/>
      <c r="AR340"/>
      <c r="BX340"/>
    </row>
    <row r="341" spans="24:76">
      <c r="X341" s="21"/>
      <c r="Y341" s="16"/>
      <c r="AR341"/>
      <c r="BX341"/>
    </row>
    <row r="342" spans="24:76">
      <c r="X342" s="21"/>
      <c r="Y342" s="16"/>
      <c r="AR342"/>
      <c r="BX342"/>
    </row>
    <row r="343" spans="24:76">
      <c r="X343" s="21"/>
      <c r="Y343" s="16"/>
      <c r="AR343"/>
      <c r="BX343"/>
    </row>
    <row r="344" spans="24:76">
      <c r="X344" s="21"/>
      <c r="Y344" s="16"/>
      <c r="AR344"/>
      <c r="BX344"/>
    </row>
    <row r="345" spans="24:76">
      <c r="X345" s="21"/>
      <c r="Y345" s="16"/>
      <c r="AR345"/>
      <c r="BX345"/>
    </row>
    <row r="346" spans="24:76">
      <c r="X346" s="21"/>
      <c r="Y346" s="16"/>
      <c r="AR346"/>
      <c r="BX346"/>
    </row>
    <row r="347" spans="24:76">
      <c r="X347" s="21"/>
      <c r="Y347" s="16"/>
      <c r="AR347"/>
      <c r="BX347"/>
    </row>
    <row r="348" spans="24:76">
      <c r="X348" s="21"/>
      <c r="Y348" s="16"/>
      <c r="AR348"/>
      <c r="BX348"/>
    </row>
    <row r="349" spans="24:76">
      <c r="X349" s="21"/>
      <c r="Y349" s="16"/>
      <c r="AR349"/>
      <c r="BX349"/>
    </row>
    <row r="350" spans="24:76">
      <c r="X350" s="21"/>
      <c r="Y350" s="16"/>
      <c r="AR350"/>
      <c r="BX350"/>
    </row>
    <row r="351" spans="24:76">
      <c r="X351" s="21"/>
      <c r="Y351" s="16"/>
      <c r="AR351"/>
      <c r="BX351"/>
    </row>
    <row r="352" spans="24:76">
      <c r="X352" s="21"/>
      <c r="Y352" s="16"/>
      <c r="AR352"/>
      <c r="BX352"/>
    </row>
    <row r="353" spans="24:76">
      <c r="X353" s="21"/>
      <c r="Y353" s="16"/>
      <c r="AR353"/>
      <c r="BX353"/>
    </row>
    <row r="354" spans="24:76">
      <c r="X354" s="21"/>
      <c r="Y354" s="16"/>
      <c r="AR354"/>
      <c r="BX354"/>
    </row>
    <row r="355" spans="24:76">
      <c r="X355" s="21"/>
      <c r="Y355" s="16"/>
      <c r="AR355"/>
      <c r="BX355"/>
    </row>
    <row r="356" spans="24:76">
      <c r="X356" s="21"/>
      <c r="Y356" s="16"/>
      <c r="AR356"/>
      <c r="BX356"/>
    </row>
    <row r="357" spans="24:76">
      <c r="X357" s="21"/>
      <c r="Y357" s="16"/>
      <c r="AR357"/>
      <c r="BX357"/>
    </row>
    <row r="358" spans="24:76">
      <c r="X358" s="21"/>
      <c r="Y358" s="16"/>
      <c r="AR358"/>
      <c r="BX358"/>
    </row>
    <row r="359" spans="24:76">
      <c r="X359" s="21"/>
      <c r="Y359" s="16"/>
      <c r="AR359"/>
      <c r="BX359"/>
    </row>
    <row r="360" spans="24:76">
      <c r="X360" s="21"/>
      <c r="Y360" s="16"/>
      <c r="AR360"/>
      <c r="BX360"/>
    </row>
    <row r="361" spans="24:76">
      <c r="X361" s="21"/>
      <c r="Y361" s="16"/>
      <c r="AR361"/>
      <c r="BX361"/>
    </row>
    <row r="362" spans="24:76">
      <c r="X362" s="21"/>
      <c r="Y362" s="16"/>
      <c r="AR362"/>
      <c r="BX362"/>
    </row>
    <row r="363" spans="24:76">
      <c r="X363" s="21"/>
      <c r="Y363" s="16"/>
      <c r="AR363"/>
      <c r="BX363"/>
    </row>
    <row r="364" spans="24:76">
      <c r="X364" s="21"/>
      <c r="Y364" s="16"/>
      <c r="AR364"/>
      <c r="BX364"/>
    </row>
    <row r="365" spans="24:76">
      <c r="X365" s="21"/>
      <c r="Y365" s="16"/>
      <c r="AR365"/>
      <c r="BX365"/>
    </row>
    <row r="366" spans="24:76">
      <c r="X366" s="21"/>
      <c r="Y366" s="16"/>
      <c r="AR366"/>
      <c r="BX366"/>
    </row>
    <row r="367" spans="24:76">
      <c r="X367" s="21"/>
      <c r="Y367" s="16"/>
      <c r="AR367"/>
      <c r="BX367"/>
    </row>
    <row r="368" spans="24:76">
      <c r="X368" s="21"/>
      <c r="Y368" s="16"/>
      <c r="AR368"/>
      <c r="BX368"/>
    </row>
    <row r="369" spans="24:76">
      <c r="X369" s="21"/>
      <c r="Y369" s="16"/>
      <c r="AR369"/>
      <c r="BX369"/>
    </row>
    <row r="370" spans="24:76">
      <c r="X370" s="21"/>
      <c r="Y370" s="16"/>
      <c r="AR370"/>
      <c r="BX370"/>
    </row>
    <row r="371" spans="24:76">
      <c r="X371" s="21"/>
      <c r="Y371" s="16"/>
      <c r="AR371"/>
      <c r="BX371"/>
    </row>
    <row r="372" spans="24:76">
      <c r="X372" s="21"/>
      <c r="Y372" s="16"/>
      <c r="AR372"/>
      <c r="BX372"/>
    </row>
    <row r="373" spans="24:76">
      <c r="X373" s="21"/>
      <c r="Y373" s="16"/>
      <c r="BX373"/>
    </row>
    <row r="374" spans="24:76">
      <c r="X374" s="21"/>
      <c r="Y374" s="16"/>
      <c r="BX374"/>
    </row>
    <row r="375" spans="24:76">
      <c r="X375" s="21"/>
      <c r="Y375" s="16"/>
      <c r="BX375"/>
    </row>
    <row r="376" spans="24:76">
      <c r="X376" s="21"/>
      <c r="BX376"/>
    </row>
    <row r="377" spans="24:76">
      <c r="X377" s="21"/>
      <c r="BX377"/>
    </row>
    <row r="378" spans="24:76">
      <c r="X378" s="21"/>
      <c r="BX378"/>
    </row>
    <row r="379" spans="24:76">
      <c r="X379" s="21"/>
      <c r="BX379"/>
    </row>
    <row r="380" spans="24:76">
      <c r="X380" s="21"/>
      <c r="BX380"/>
    </row>
    <row r="381" spans="24:76">
      <c r="X381" s="21"/>
      <c r="BX381"/>
    </row>
    <row r="382" spans="24:76">
      <c r="X382" s="21"/>
      <c r="BX382"/>
    </row>
    <row r="383" spans="24:76">
      <c r="X383" s="21"/>
      <c r="BX383"/>
    </row>
    <row r="384" spans="24:76">
      <c r="X384" s="21"/>
      <c r="BX384"/>
    </row>
    <row r="385" spans="24:76">
      <c r="X385" s="21"/>
      <c r="BX385"/>
    </row>
    <row r="386" spans="24:76">
      <c r="X386" s="21"/>
      <c r="BX386"/>
    </row>
    <row r="387" spans="24:76">
      <c r="X387" s="21"/>
      <c r="BX387"/>
    </row>
    <row r="388" spans="24:76">
      <c r="X388" s="21"/>
      <c r="BX388"/>
    </row>
    <row r="389" spans="24:76">
      <c r="X389" s="21"/>
      <c r="BX389"/>
    </row>
    <row r="390" spans="24:76">
      <c r="X390" s="21"/>
      <c r="BX390"/>
    </row>
    <row r="391" spans="24:76">
      <c r="X391" s="21"/>
      <c r="BX391"/>
    </row>
    <row r="392" spans="24:76">
      <c r="X392" s="21"/>
      <c r="BX392"/>
    </row>
    <row r="393" spans="24:76">
      <c r="X393" s="21"/>
      <c r="BX393"/>
    </row>
    <row r="394" spans="24:76">
      <c r="X394" s="21"/>
      <c r="BX394"/>
    </row>
    <row r="395" spans="24:76">
      <c r="X395" s="21"/>
      <c r="BX395"/>
    </row>
    <row r="396" spans="24:76">
      <c r="X396" s="21"/>
      <c r="BX396"/>
    </row>
    <row r="397" spans="24:76">
      <c r="X397" s="21"/>
      <c r="BX397"/>
    </row>
    <row r="398" spans="24:76">
      <c r="X398" s="21"/>
      <c r="BX398"/>
    </row>
    <row r="399" spans="24:76">
      <c r="X399" s="21"/>
      <c r="BX399"/>
    </row>
    <row r="400" spans="24:76">
      <c r="X400" s="21"/>
      <c r="BX400"/>
    </row>
    <row r="401" spans="24:76">
      <c r="X401" s="21"/>
      <c r="BX401"/>
    </row>
    <row r="402" spans="24:76">
      <c r="X402" s="21"/>
      <c r="BX402"/>
    </row>
    <row r="403" spans="24:76">
      <c r="X403" s="21"/>
      <c r="BX403"/>
    </row>
    <row r="404" spans="24:76">
      <c r="X404" s="21"/>
      <c r="BX404"/>
    </row>
    <row r="405" spans="24:76">
      <c r="X405" s="21"/>
      <c r="BX405"/>
    </row>
    <row r="406" spans="24:76">
      <c r="X406" s="21"/>
      <c r="BX406"/>
    </row>
    <row r="407" spans="24:76">
      <c r="X407" s="21"/>
      <c r="BX407"/>
    </row>
    <row r="408" spans="24:76">
      <c r="X408" s="21"/>
      <c r="BX408"/>
    </row>
    <row r="409" spans="24:76">
      <c r="X409" s="21"/>
      <c r="BX409"/>
    </row>
    <row r="410" spans="24:76">
      <c r="X410" s="21"/>
      <c r="BX410"/>
    </row>
    <row r="411" spans="24:76">
      <c r="X411" s="21"/>
      <c r="BX411"/>
    </row>
    <row r="412" spans="24:76">
      <c r="X412" s="21"/>
      <c r="BX412"/>
    </row>
    <row r="413" spans="24:76">
      <c r="X413" s="21"/>
      <c r="BX413"/>
    </row>
    <row r="414" spans="24:76">
      <c r="X414" s="21"/>
      <c r="BX414"/>
    </row>
    <row r="415" spans="24:76">
      <c r="X415" s="21"/>
      <c r="BX415"/>
    </row>
    <row r="416" spans="24:76">
      <c r="X416" s="21"/>
      <c r="BX416"/>
    </row>
    <row r="417" spans="24:76">
      <c r="X417" s="21"/>
      <c r="BX417"/>
    </row>
    <row r="418" spans="24:76">
      <c r="X418" s="21"/>
      <c r="BX418"/>
    </row>
    <row r="419" spans="24:76">
      <c r="X419" s="21"/>
      <c r="BX419"/>
    </row>
    <row r="420" spans="24:76">
      <c r="X420" s="21"/>
      <c r="BX420"/>
    </row>
    <row r="421" spans="24:76">
      <c r="X421" s="21"/>
      <c r="BX421"/>
    </row>
    <row r="422" spans="24:76">
      <c r="X422" s="21"/>
      <c r="BX422"/>
    </row>
    <row r="423" spans="24:76">
      <c r="X423" s="21"/>
      <c r="BX423"/>
    </row>
    <row r="424" spans="24:76">
      <c r="X424" s="21"/>
      <c r="BX424"/>
    </row>
    <row r="425" spans="24:76">
      <c r="X425" s="21"/>
      <c r="BX425"/>
    </row>
    <row r="426" spans="24:76">
      <c r="X426" s="21"/>
      <c r="BX426"/>
    </row>
    <row r="427" spans="24:76">
      <c r="X427" s="21"/>
      <c r="BX427"/>
    </row>
    <row r="428" spans="24:76">
      <c r="X428" s="21"/>
      <c r="BX428"/>
    </row>
    <row r="429" spans="24:76">
      <c r="X429" s="21"/>
      <c r="BX429"/>
    </row>
    <row r="430" spans="24:76">
      <c r="X430" s="21"/>
      <c r="BX430"/>
    </row>
    <row r="431" spans="24:76">
      <c r="X431" s="21"/>
      <c r="BX431"/>
    </row>
    <row r="432" spans="24:76">
      <c r="X432" s="21"/>
      <c r="BX432"/>
    </row>
    <row r="433" spans="24:76">
      <c r="X433" s="21"/>
      <c r="BX433"/>
    </row>
    <row r="434" spans="24:76">
      <c r="X434" s="21"/>
      <c r="BX434"/>
    </row>
    <row r="435" spans="24:76">
      <c r="X435" s="21"/>
      <c r="BX435"/>
    </row>
    <row r="436" spans="24:76">
      <c r="X436" s="21"/>
      <c r="BX436"/>
    </row>
    <row r="437" spans="24:76">
      <c r="X437" s="21"/>
      <c r="BX437"/>
    </row>
    <row r="438" spans="24:76">
      <c r="X438" s="21"/>
      <c r="BX438"/>
    </row>
    <row r="439" spans="24:76">
      <c r="X439" s="21"/>
      <c r="BX439"/>
    </row>
    <row r="440" spans="24:76">
      <c r="X440" s="21"/>
      <c r="BX440"/>
    </row>
    <row r="441" spans="24:76">
      <c r="X441" s="21"/>
      <c r="BX441"/>
    </row>
    <row r="442" spans="24:76">
      <c r="X442" s="21"/>
      <c r="BX442"/>
    </row>
    <row r="443" spans="24:76">
      <c r="X443" s="21"/>
      <c r="BX443"/>
    </row>
    <row r="444" spans="24:76">
      <c r="X444" s="21"/>
      <c r="BX444"/>
    </row>
    <row r="445" spans="24:76">
      <c r="X445" s="21"/>
      <c r="BX445"/>
    </row>
    <row r="446" spans="24:76">
      <c r="X446" s="21"/>
      <c r="BX446"/>
    </row>
    <row r="447" spans="24:76">
      <c r="X447" s="21"/>
      <c r="BX447"/>
    </row>
    <row r="448" spans="24:76">
      <c r="X448" s="21"/>
      <c r="BX448"/>
    </row>
    <row r="449" spans="24:76">
      <c r="X449" s="21"/>
      <c r="BX449"/>
    </row>
    <row r="450" spans="24:76">
      <c r="X450" s="21"/>
      <c r="BX450"/>
    </row>
    <row r="451" spans="24:76">
      <c r="X451" s="21"/>
      <c r="BX451"/>
    </row>
    <row r="452" spans="24:76">
      <c r="X452" s="21"/>
      <c r="BX452"/>
    </row>
    <row r="453" spans="24:76">
      <c r="X453" s="21"/>
      <c r="BX453"/>
    </row>
    <row r="454" spans="24:76">
      <c r="X454" s="21"/>
      <c r="BX454"/>
    </row>
    <row r="455" spans="24:76">
      <c r="X455" s="21"/>
      <c r="BX455"/>
    </row>
    <row r="456" spans="24:76">
      <c r="X456" s="21"/>
      <c r="BX456"/>
    </row>
    <row r="457" spans="24:76">
      <c r="X457" s="21"/>
      <c r="BX457"/>
    </row>
    <row r="458" spans="24:76">
      <c r="X458" s="21"/>
      <c r="BX458"/>
    </row>
    <row r="459" spans="24:76">
      <c r="X459" s="21"/>
      <c r="BX459"/>
    </row>
    <row r="460" spans="24:76">
      <c r="X460" s="21"/>
      <c r="BX460"/>
    </row>
    <row r="461" spans="24:76">
      <c r="X461" s="21"/>
      <c r="BX461"/>
    </row>
    <row r="462" spans="24:76">
      <c r="X462" s="21"/>
      <c r="BX462"/>
    </row>
    <row r="463" spans="24:76">
      <c r="X463" s="21"/>
      <c r="BX463"/>
    </row>
    <row r="464" spans="24:76">
      <c r="X464" s="21"/>
      <c r="BX464"/>
    </row>
    <row r="465" spans="24:76">
      <c r="X465" s="21"/>
      <c r="BX465"/>
    </row>
    <row r="466" spans="24:76">
      <c r="X466" s="21"/>
      <c r="BX466"/>
    </row>
    <row r="467" spans="24:76">
      <c r="X467" s="21"/>
      <c r="BX467"/>
    </row>
    <row r="468" spans="24:76">
      <c r="X468" s="21"/>
      <c r="BX468"/>
    </row>
    <row r="469" spans="24:76">
      <c r="X469" s="21"/>
      <c r="BX469"/>
    </row>
    <row r="470" spans="24:76">
      <c r="X470" s="21"/>
      <c r="BX470"/>
    </row>
    <row r="471" spans="24:76">
      <c r="X471" s="21"/>
      <c r="BX471"/>
    </row>
    <row r="472" spans="24:76">
      <c r="X472" s="21"/>
      <c r="BX472"/>
    </row>
    <row r="473" spans="24:76">
      <c r="X473" s="21"/>
      <c r="BX473"/>
    </row>
    <row r="474" spans="24:76">
      <c r="X474" s="21"/>
      <c r="BX474"/>
    </row>
    <row r="475" spans="24:76">
      <c r="X475" s="21"/>
      <c r="BX475"/>
    </row>
    <row r="476" spans="24:76">
      <c r="X476" s="21"/>
      <c r="BX476"/>
    </row>
    <row r="477" spans="24:76">
      <c r="X477" s="21"/>
      <c r="BX477"/>
    </row>
    <row r="478" spans="24:76">
      <c r="X478" s="21"/>
      <c r="BX478"/>
    </row>
    <row r="479" spans="24:76">
      <c r="X479" s="21"/>
      <c r="BX479"/>
    </row>
    <row r="480" spans="24:76">
      <c r="X480" s="21"/>
      <c r="BX480"/>
    </row>
    <row r="481" spans="24:76">
      <c r="X481" s="21"/>
      <c r="BX481"/>
    </row>
    <row r="482" spans="24:76">
      <c r="X482" s="21"/>
      <c r="BX482"/>
    </row>
    <row r="483" spans="24:76">
      <c r="X483" s="21"/>
      <c r="BX483"/>
    </row>
    <row r="484" spans="24:76">
      <c r="X484" s="21"/>
      <c r="BX484"/>
    </row>
    <row r="485" spans="24:76">
      <c r="X485" s="21"/>
      <c r="BX485"/>
    </row>
    <row r="486" spans="24:76">
      <c r="X486" s="21"/>
      <c r="BX486"/>
    </row>
    <row r="487" spans="24:76">
      <c r="X487" s="21"/>
      <c r="BX487"/>
    </row>
    <row r="488" spans="24:76">
      <c r="X488" s="21"/>
      <c r="BX488"/>
    </row>
    <row r="489" spans="24:76">
      <c r="X489" s="21"/>
      <c r="BX489"/>
    </row>
    <row r="490" spans="24:76">
      <c r="X490" s="21"/>
      <c r="BX490"/>
    </row>
    <row r="491" spans="24:76">
      <c r="X491" s="21"/>
      <c r="BX491"/>
    </row>
    <row r="492" spans="24:76">
      <c r="X492" s="21"/>
      <c r="BX492"/>
    </row>
    <row r="493" spans="24:76">
      <c r="X493" s="21"/>
      <c r="BX493"/>
    </row>
    <row r="494" spans="24:76">
      <c r="X494" s="21"/>
      <c r="BX494"/>
    </row>
    <row r="495" spans="24:76">
      <c r="X495" s="21"/>
      <c r="BX495"/>
    </row>
    <row r="496" spans="24:76">
      <c r="X496" s="21"/>
      <c r="BX496"/>
    </row>
    <row r="497" spans="24:76">
      <c r="X497" s="21"/>
      <c r="BX497"/>
    </row>
    <row r="498" spans="24:76">
      <c r="X498" s="21"/>
      <c r="BX498"/>
    </row>
    <row r="499" spans="24:76">
      <c r="X499" s="21"/>
      <c r="BX499"/>
    </row>
    <row r="500" spans="24:76">
      <c r="X500" s="21"/>
      <c r="BX500"/>
    </row>
    <row r="501" spans="24:76">
      <c r="X501" s="21"/>
      <c r="BX501"/>
    </row>
    <row r="502" spans="24:76">
      <c r="X502" s="21"/>
      <c r="BX502"/>
    </row>
    <row r="503" spans="24:76">
      <c r="X503" s="21"/>
      <c r="BX503"/>
    </row>
    <row r="504" spans="24:76">
      <c r="X504" s="21"/>
      <c r="BX504"/>
    </row>
    <row r="505" spans="24:76">
      <c r="X505" s="21"/>
      <c r="BX505"/>
    </row>
    <row r="506" spans="24:76">
      <c r="X506" s="21"/>
      <c r="BX506"/>
    </row>
    <row r="507" spans="24:76">
      <c r="X507" s="21"/>
      <c r="BX507"/>
    </row>
    <row r="508" spans="24:76">
      <c r="X508" s="21"/>
      <c r="BX508"/>
    </row>
    <row r="509" spans="24:76">
      <c r="X509" s="21"/>
      <c r="BX509"/>
    </row>
    <row r="510" spans="24:76">
      <c r="X510" s="21"/>
      <c r="BX510"/>
    </row>
    <row r="511" spans="24:76">
      <c r="X511" s="21"/>
      <c r="BX511"/>
    </row>
    <row r="512" spans="24:76">
      <c r="X512" s="21"/>
      <c r="BX512"/>
    </row>
    <row r="513" spans="24:76">
      <c r="X513" s="21"/>
      <c r="BX513"/>
    </row>
    <row r="514" spans="24:76">
      <c r="X514" s="21"/>
      <c r="BX514"/>
    </row>
    <row r="515" spans="24:76">
      <c r="X515" s="21"/>
      <c r="BX515"/>
    </row>
    <row r="516" spans="24:76">
      <c r="X516" s="21"/>
      <c r="BX516"/>
    </row>
    <row r="517" spans="24:76">
      <c r="X517" s="21"/>
      <c r="BX517"/>
    </row>
    <row r="518" spans="24:76">
      <c r="X518" s="21"/>
      <c r="BX518"/>
    </row>
    <row r="519" spans="24:76">
      <c r="X519" s="21"/>
      <c r="BX519"/>
    </row>
    <row r="520" spans="24:76">
      <c r="X520" s="21"/>
      <c r="BX520"/>
    </row>
    <row r="521" spans="24:76">
      <c r="X521" s="21"/>
      <c r="BX521"/>
    </row>
    <row r="522" spans="24:76">
      <c r="X522" s="21"/>
      <c r="BX522"/>
    </row>
    <row r="523" spans="24:76">
      <c r="X523" s="21"/>
      <c r="BX523"/>
    </row>
    <row r="524" spans="24:76">
      <c r="X524" s="21"/>
      <c r="BX524"/>
    </row>
    <row r="525" spans="24:76">
      <c r="X525" s="21"/>
      <c r="BX525"/>
    </row>
    <row r="526" spans="24:76">
      <c r="X526" s="21"/>
      <c r="BX526"/>
    </row>
    <row r="527" spans="24:76">
      <c r="X527" s="21"/>
      <c r="BX527"/>
    </row>
    <row r="528" spans="24:76">
      <c r="X528" s="21"/>
      <c r="BX528"/>
    </row>
    <row r="529" spans="24:76">
      <c r="X529" s="21"/>
      <c r="BX529"/>
    </row>
    <row r="530" spans="24:76">
      <c r="X530" s="21"/>
      <c r="BX530"/>
    </row>
    <row r="531" spans="24:76">
      <c r="X531" s="21"/>
      <c r="BX531"/>
    </row>
    <row r="532" spans="24:76">
      <c r="X532" s="21"/>
      <c r="BX532"/>
    </row>
    <row r="533" spans="24:76">
      <c r="X533" s="21"/>
      <c r="BX533"/>
    </row>
    <row r="534" spans="24:76">
      <c r="X534" s="21"/>
      <c r="BX534"/>
    </row>
    <row r="535" spans="24:76">
      <c r="X535" s="21"/>
      <c r="BX535"/>
    </row>
    <row r="536" spans="24:76">
      <c r="X536" s="21"/>
      <c r="BX536"/>
    </row>
    <row r="537" spans="24:76">
      <c r="X537" s="21"/>
      <c r="BX537"/>
    </row>
    <row r="538" spans="24:76">
      <c r="X538" s="21"/>
      <c r="BX538"/>
    </row>
    <row r="539" spans="24:76">
      <c r="X539" s="21"/>
      <c r="BX539"/>
    </row>
    <row r="540" spans="24:76">
      <c r="X540" s="21"/>
      <c r="BX540"/>
    </row>
    <row r="541" spans="24:76">
      <c r="X541" s="21"/>
      <c r="BX541"/>
    </row>
    <row r="542" spans="24:76">
      <c r="X542" s="21"/>
      <c r="BX542"/>
    </row>
    <row r="543" spans="24:76">
      <c r="X543" s="21"/>
      <c r="BX543"/>
    </row>
    <row r="544" spans="24:76">
      <c r="X544" s="21"/>
      <c r="BX544"/>
    </row>
    <row r="545" spans="24:76">
      <c r="X545" s="21"/>
      <c r="BX545"/>
    </row>
    <row r="546" spans="24:76">
      <c r="X546" s="21"/>
      <c r="BX546"/>
    </row>
    <row r="547" spans="24:76">
      <c r="X547" s="21"/>
      <c r="BX547"/>
    </row>
    <row r="548" spans="24:76">
      <c r="X548" s="21"/>
      <c r="BX548"/>
    </row>
    <row r="549" spans="24:76">
      <c r="X549" s="21"/>
      <c r="BX549"/>
    </row>
    <row r="550" spans="24:76">
      <c r="X550" s="21"/>
      <c r="BX550"/>
    </row>
    <row r="551" spans="24:76">
      <c r="X551" s="21"/>
      <c r="BX551"/>
    </row>
    <row r="552" spans="24:76">
      <c r="X552" s="21"/>
      <c r="BX552"/>
    </row>
    <row r="553" spans="24:76">
      <c r="X553" s="21"/>
      <c r="BX553"/>
    </row>
    <row r="554" spans="24:76">
      <c r="X554" s="21"/>
      <c r="BX554"/>
    </row>
    <row r="555" spans="24:76">
      <c r="X555" s="21"/>
      <c r="BX555"/>
    </row>
    <row r="556" spans="24:76">
      <c r="X556" s="21"/>
      <c r="BX556"/>
    </row>
    <row r="557" spans="24:76">
      <c r="X557" s="21"/>
      <c r="BX557"/>
    </row>
    <row r="558" spans="24:76">
      <c r="X558" s="21"/>
      <c r="BX558"/>
    </row>
    <row r="559" spans="24:76">
      <c r="X559" s="21"/>
      <c r="BX559"/>
    </row>
    <row r="560" spans="24:76">
      <c r="X560" s="21"/>
      <c r="BX560"/>
    </row>
    <row r="561" spans="24:76">
      <c r="X561" s="21"/>
      <c r="BX561"/>
    </row>
    <row r="562" spans="24:76">
      <c r="X562" s="21"/>
      <c r="BX562"/>
    </row>
    <row r="563" spans="24:76">
      <c r="X563" s="21"/>
      <c r="BX563"/>
    </row>
    <row r="564" spans="24:76">
      <c r="X564" s="21"/>
      <c r="BX564"/>
    </row>
    <row r="565" spans="24:76">
      <c r="X565" s="21"/>
      <c r="BX565"/>
    </row>
    <row r="566" spans="24:76">
      <c r="X566" s="21"/>
      <c r="BX566"/>
    </row>
    <row r="567" spans="24:76">
      <c r="X567" s="21"/>
      <c r="BX567"/>
    </row>
    <row r="568" spans="24:76">
      <c r="X568" s="21"/>
      <c r="BX568"/>
    </row>
    <row r="569" spans="24:76">
      <c r="X569" s="21"/>
      <c r="BX569"/>
    </row>
    <row r="570" spans="24:76">
      <c r="X570" s="21"/>
      <c r="BX570"/>
    </row>
    <row r="571" spans="24:76">
      <c r="X571" s="21"/>
      <c r="BX571"/>
    </row>
    <row r="572" spans="24:76">
      <c r="X572" s="21"/>
      <c r="BX572"/>
    </row>
    <row r="573" spans="24:76">
      <c r="X573" s="21"/>
      <c r="BX573"/>
    </row>
    <row r="574" spans="24:76">
      <c r="X574" s="21"/>
      <c r="BX574"/>
    </row>
    <row r="575" spans="24:76">
      <c r="X575" s="21"/>
      <c r="BX575"/>
    </row>
    <row r="576" spans="24:76">
      <c r="X576" s="21"/>
      <c r="BX576"/>
    </row>
    <row r="577" spans="24:76">
      <c r="X577" s="21"/>
      <c r="BX577"/>
    </row>
    <row r="578" spans="24:76">
      <c r="X578" s="21"/>
      <c r="BX578"/>
    </row>
    <row r="579" spans="24:76">
      <c r="X579" s="21"/>
      <c r="BX579"/>
    </row>
    <row r="580" spans="24:76">
      <c r="X580" s="21"/>
      <c r="BX580"/>
    </row>
    <row r="581" spans="24:76">
      <c r="X581" s="21"/>
      <c r="BX581"/>
    </row>
    <row r="582" spans="24:76">
      <c r="X582" s="21"/>
      <c r="BX582"/>
    </row>
    <row r="583" spans="24:76">
      <c r="X583" s="21"/>
      <c r="BX583"/>
    </row>
    <row r="584" spans="24:76">
      <c r="X584" s="21"/>
      <c r="BX584"/>
    </row>
    <row r="585" spans="24:76">
      <c r="X585" s="21"/>
      <c r="BX585"/>
    </row>
    <row r="586" spans="24:76">
      <c r="X586" s="21"/>
      <c r="BX586"/>
    </row>
    <row r="587" spans="24:76">
      <c r="X587" s="21"/>
      <c r="BX587"/>
    </row>
    <row r="588" spans="24:76">
      <c r="X588" s="21"/>
      <c r="BX588"/>
    </row>
    <row r="589" spans="24:76">
      <c r="X589" s="21"/>
      <c r="BX589"/>
    </row>
    <row r="590" spans="24:76">
      <c r="X590" s="21"/>
      <c r="BX590"/>
    </row>
    <row r="591" spans="24:76">
      <c r="X591" s="21"/>
      <c r="BX591"/>
    </row>
    <row r="592" spans="24:76">
      <c r="X592" s="21"/>
      <c r="BX592"/>
    </row>
    <row r="593" spans="24:76">
      <c r="X593" s="21"/>
      <c r="BX593"/>
    </row>
    <row r="594" spans="24:76">
      <c r="X594" s="21"/>
      <c r="BX594"/>
    </row>
    <row r="595" spans="24:76">
      <c r="X595" s="21"/>
      <c r="BX595"/>
    </row>
    <row r="596" spans="24:76">
      <c r="X596" s="21"/>
      <c r="BX596"/>
    </row>
    <row r="597" spans="24:76">
      <c r="X597" s="21"/>
      <c r="BX597"/>
    </row>
    <row r="598" spans="24:76">
      <c r="X598" s="21"/>
      <c r="BX598"/>
    </row>
    <row r="599" spans="24:76">
      <c r="X599" s="21"/>
      <c r="BX599"/>
    </row>
    <row r="600" spans="24:76">
      <c r="X600" s="21"/>
      <c r="BX600"/>
    </row>
    <row r="601" spans="24:76">
      <c r="X601" s="21"/>
      <c r="BX601"/>
    </row>
    <row r="602" spans="24:76">
      <c r="X602" s="21"/>
      <c r="BX602"/>
    </row>
    <row r="603" spans="24:76">
      <c r="X603" s="21"/>
      <c r="BX603"/>
    </row>
    <row r="604" spans="24:76">
      <c r="X604" s="21"/>
      <c r="BX604"/>
    </row>
    <row r="605" spans="24:76">
      <c r="X605" s="21"/>
      <c r="BX605"/>
    </row>
    <row r="606" spans="24:76">
      <c r="X606" s="21"/>
      <c r="BX606"/>
    </row>
    <row r="607" spans="24:76">
      <c r="X607" s="21"/>
      <c r="BX607"/>
    </row>
    <row r="608" spans="24:76">
      <c r="X608" s="21"/>
      <c r="BX608"/>
    </row>
    <row r="609" spans="24:76">
      <c r="X609" s="21"/>
      <c r="BX609"/>
    </row>
    <row r="610" spans="24:76">
      <c r="X610" s="21"/>
      <c r="BX610"/>
    </row>
    <row r="611" spans="24:76">
      <c r="X611" s="21"/>
      <c r="BX611"/>
    </row>
    <row r="612" spans="24:76">
      <c r="X612" s="21"/>
      <c r="BX612"/>
    </row>
    <row r="613" spans="24:76">
      <c r="X613" s="21"/>
      <c r="BX613"/>
    </row>
    <row r="614" spans="24:76">
      <c r="X614" s="21"/>
      <c r="BX614"/>
    </row>
    <row r="615" spans="24:76">
      <c r="X615" s="21"/>
      <c r="BX615"/>
    </row>
    <row r="616" spans="24:76">
      <c r="X616" s="21"/>
      <c r="BX616"/>
    </row>
    <row r="617" spans="24:76">
      <c r="X617" s="21"/>
      <c r="BX617"/>
    </row>
    <row r="618" spans="24:76">
      <c r="X618" s="21"/>
      <c r="BX618"/>
    </row>
    <row r="619" spans="24:76">
      <c r="X619" s="21"/>
      <c r="BX619"/>
    </row>
    <row r="620" spans="24:76">
      <c r="X620" s="21"/>
      <c r="BX620"/>
    </row>
    <row r="621" spans="24:76">
      <c r="X621" s="21"/>
      <c r="BX621"/>
    </row>
    <row r="622" spans="24:76">
      <c r="X622" s="21"/>
      <c r="BX622"/>
    </row>
    <row r="623" spans="24:76">
      <c r="X623" s="21"/>
      <c r="BX623"/>
    </row>
    <row r="624" spans="24:76">
      <c r="X624" s="21"/>
      <c r="BX624"/>
    </row>
    <row r="625" spans="24:76">
      <c r="X625" s="21"/>
      <c r="BX625"/>
    </row>
    <row r="626" spans="24:76">
      <c r="X626" s="21"/>
      <c r="BX626"/>
    </row>
    <row r="627" spans="24:76">
      <c r="X627" s="21"/>
      <c r="BX627"/>
    </row>
    <row r="628" spans="24:76">
      <c r="X628" s="21"/>
      <c r="BX628"/>
    </row>
    <row r="629" spans="24:76">
      <c r="X629" s="21"/>
      <c r="BX629"/>
    </row>
    <row r="630" spans="24:76">
      <c r="X630" s="21"/>
      <c r="BX630"/>
    </row>
    <row r="631" spans="24:76">
      <c r="X631" s="21"/>
      <c r="BX631"/>
    </row>
    <row r="632" spans="24:76">
      <c r="X632" s="21"/>
      <c r="BX632"/>
    </row>
    <row r="633" spans="24:76">
      <c r="X633" s="21"/>
      <c r="BX633"/>
    </row>
    <row r="634" spans="24:76">
      <c r="X634" s="21"/>
      <c r="BX634"/>
    </row>
    <row r="635" spans="24:76">
      <c r="X635" s="21"/>
      <c r="BX635"/>
    </row>
    <row r="636" spans="24:76">
      <c r="X636" s="21"/>
      <c r="BX636"/>
    </row>
    <row r="637" spans="24:76">
      <c r="X637" s="21"/>
      <c r="BX637"/>
    </row>
    <row r="638" spans="24:76">
      <c r="X638" s="21"/>
      <c r="BX638"/>
    </row>
    <row r="639" spans="24:76">
      <c r="X639" s="21"/>
      <c r="BX639"/>
    </row>
    <row r="640" spans="24:76">
      <c r="X640" s="21"/>
      <c r="BX640"/>
    </row>
    <row r="641" spans="24:76">
      <c r="X641" s="21"/>
      <c r="BX641"/>
    </row>
    <row r="642" spans="24:76">
      <c r="X642" s="21"/>
      <c r="BX642"/>
    </row>
    <row r="643" spans="24:76">
      <c r="X643" s="21"/>
      <c r="BX643"/>
    </row>
    <row r="644" spans="24:76">
      <c r="X644" s="21"/>
      <c r="BX644"/>
    </row>
    <row r="645" spans="24:76">
      <c r="X645" s="21"/>
      <c r="BX645"/>
    </row>
    <row r="646" spans="24:76">
      <c r="X646" s="21"/>
      <c r="BX646"/>
    </row>
    <row r="647" spans="24:76">
      <c r="X647" s="21"/>
      <c r="BX647"/>
    </row>
    <row r="648" spans="24:76">
      <c r="X648" s="21"/>
      <c r="BX648"/>
    </row>
    <row r="649" spans="24:76">
      <c r="X649" s="21"/>
      <c r="BX649"/>
    </row>
    <row r="650" spans="24:76">
      <c r="X650" s="21"/>
      <c r="BX650"/>
    </row>
    <row r="651" spans="24:76">
      <c r="X651" s="21"/>
      <c r="BX651"/>
    </row>
    <row r="652" spans="24:76">
      <c r="X652" s="21"/>
      <c r="BX652"/>
    </row>
    <row r="653" spans="24:76">
      <c r="X653" s="21"/>
      <c r="BX653"/>
    </row>
    <row r="654" spans="24:76">
      <c r="X654" s="21"/>
      <c r="BX654"/>
    </row>
    <row r="655" spans="24:76">
      <c r="X655" s="21"/>
      <c r="BX655"/>
    </row>
    <row r="656" spans="24:76">
      <c r="X656" s="21"/>
      <c r="BX656"/>
    </row>
    <row r="657" spans="24:76">
      <c r="X657" s="21"/>
      <c r="BX657"/>
    </row>
    <row r="658" spans="24:76">
      <c r="X658" s="21"/>
      <c r="BX658"/>
    </row>
    <row r="659" spans="24:76">
      <c r="X659" s="21"/>
      <c r="BX659"/>
    </row>
    <row r="660" spans="24:76">
      <c r="X660" s="21"/>
      <c r="BX660"/>
    </row>
    <row r="661" spans="24:76">
      <c r="X661" s="21"/>
      <c r="BX661"/>
    </row>
    <row r="662" spans="24:76">
      <c r="X662" s="21"/>
      <c r="BX662"/>
    </row>
    <row r="663" spans="24:76">
      <c r="X663" s="21"/>
      <c r="BX663"/>
    </row>
    <row r="664" spans="24:76">
      <c r="X664" s="21"/>
      <c r="BX664"/>
    </row>
    <row r="665" spans="24:76">
      <c r="X665" s="21"/>
      <c r="BX665"/>
    </row>
    <row r="666" spans="24:76">
      <c r="X666" s="21"/>
      <c r="BX666"/>
    </row>
    <row r="667" spans="24:76">
      <c r="X667" s="21"/>
      <c r="BX667"/>
    </row>
    <row r="668" spans="24:76">
      <c r="X668" s="21"/>
      <c r="BX668"/>
    </row>
    <row r="669" spans="24:76">
      <c r="X669" s="21"/>
      <c r="BX669"/>
    </row>
    <row r="670" spans="24:76">
      <c r="X670" s="21"/>
      <c r="BX670"/>
    </row>
    <row r="671" spans="24:76">
      <c r="X671" s="21"/>
      <c r="BX671"/>
    </row>
    <row r="672" spans="24:76">
      <c r="X672" s="21"/>
      <c r="BX672"/>
    </row>
    <row r="673" spans="24:76">
      <c r="X673" s="21"/>
      <c r="BX673"/>
    </row>
    <row r="674" spans="24:76">
      <c r="X674" s="21"/>
      <c r="BX674"/>
    </row>
    <row r="675" spans="24:76">
      <c r="X675" s="21"/>
      <c r="BX675"/>
    </row>
    <row r="676" spans="24:76">
      <c r="X676" s="21"/>
      <c r="BX676"/>
    </row>
    <row r="677" spans="24:76">
      <c r="X677" s="21"/>
      <c r="BX677"/>
    </row>
    <row r="678" spans="24:76">
      <c r="X678" s="21"/>
      <c r="BX678"/>
    </row>
    <row r="679" spans="24:76">
      <c r="X679" s="21"/>
      <c r="BX679"/>
    </row>
    <row r="680" spans="24:76">
      <c r="X680" s="21"/>
      <c r="BX680"/>
    </row>
    <row r="681" spans="24:76">
      <c r="X681" s="21"/>
      <c r="BX681"/>
    </row>
    <row r="682" spans="24:76">
      <c r="X682" s="21"/>
      <c r="BX682"/>
    </row>
    <row r="683" spans="24:76">
      <c r="X683" s="21"/>
      <c r="BX683"/>
    </row>
    <row r="684" spans="24:76">
      <c r="X684" s="21"/>
      <c r="BX684"/>
    </row>
    <row r="685" spans="24:76">
      <c r="X685" s="21"/>
      <c r="BX685"/>
    </row>
    <row r="686" spans="24:76">
      <c r="X686" s="21"/>
      <c r="BX686"/>
    </row>
    <row r="687" spans="24:76">
      <c r="X687" s="21"/>
      <c r="BX687"/>
    </row>
    <row r="688" spans="24:76">
      <c r="X688" s="21"/>
      <c r="BX688"/>
    </row>
    <row r="689" spans="24:76">
      <c r="X689" s="21"/>
      <c r="BX689"/>
    </row>
    <row r="690" spans="24:76">
      <c r="X690" s="21"/>
      <c r="BX690"/>
    </row>
    <row r="691" spans="24:76">
      <c r="X691" s="21"/>
      <c r="BX691"/>
    </row>
    <row r="692" spans="24:76">
      <c r="X692" s="21"/>
      <c r="BX692"/>
    </row>
    <row r="693" spans="24:76">
      <c r="X693" s="21"/>
      <c r="BX693"/>
    </row>
    <row r="694" spans="24:76">
      <c r="X694" s="21"/>
      <c r="BX694"/>
    </row>
    <row r="695" spans="24:76">
      <c r="X695" s="21"/>
      <c r="BX695"/>
    </row>
    <row r="696" spans="24:76">
      <c r="X696" s="21"/>
      <c r="BX696"/>
    </row>
    <row r="697" spans="24:76">
      <c r="X697" s="21"/>
      <c r="BX697"/>
    </row>
    <row r="698" spans="24:76">
      <c r="X698" s="21"/>
      <c r="BX698"/>
    </row>
    <row r="699" spans="24:76">
      <c r="X699" s="21"/>
      <c r="BX699"/>
    </row>
    <row r="700" spans="24:76">
      <c r="X700" s="21"/>
      <c r="BX700"/>
    </row>
    <row r="701" spans="24:76">
      <c r="X701" s="21"/>
      <c r="BX701"/>
    </row>
    <row r="702" spans="24:76">
      <c r="X702" s="21"/>
      <c r="BX702"/>
    </row>
    <row r="703" spans="24:76">
      <c r="X703" s="21"/>
      <c r="BX703"/>
    </row>
    <row r="704" spans="24:76">
      <c r="X704" s="21"/>
      <c r="BX704"/>
    </row>
    <row r="705" spans="24:76">
      <c r="X705" s="21"/>
      <c r="BX705"/>
    </row>
    <row r="706" spans="24:76">
      <c r="X706" s="21"/>
      <c r="BX706"/>
    </row>
    <row r="707" spans="24:76">
      <c r="X707" s="21"/>
      <c r="BX707"/>
    </row>
    <row r="708" spans="24:76">
      <c r="X708" s="21"/>
      <c r="BX708"/>
    </row>
    <row r="709" spans="24:76">
      <c r="X709" s="21"/>
      <c r="BX709"/>
    </row>
    <row r="710" spans="24:76">
      <c r="X710" s="21"/>
      <c r="BX710"/>
    </row>
    <row r="711" spans="24:76">
      <c r="X711" s="21"/>
      <c r="BX711"/>
    </row>
    <row r="712" spans="24:76">
      <c r="X712" s="21"/>
      <c r="BX712"/>
    </row>
    <row r="713" spans="24:76">
      <c r="X713" s="21"/>
      <c r="BX713"/>
    </row>
    <row r="714" spans="24:76">
      <c r="X714" s="21"/>
      <c r="BX714"/>
    </row>
    <row r="715" spans="24:76">
      <c r="X715" s="21"/>
      <c r="BX715"/>
    </row>
    <row r="716" spans="24:76">
      <c r="X716" s="21"/>
      <c r="BX716"/>
    </row>
    <row r="717" spans="24:76">
      <c r="X717" s="21"/>
      <c r="BX717"/>
    </row>
    <row r="718" spans="24:76">
      <c r="X718" s="21"/>
      <c r="BX718"/>
    </row>
    <row r="719" spans="24:76">
      <c r="X719" s="21"/>
      <c r="BX719"/>
    </row>
    <row r="720" spans="24:76">
      <c r="X720" s="21"/>
      <c r="BX720"/>
    </row>
    <row r="721" spans="24:76">
      <c r="X721" s="21"/>
      <c r="BX721"/>
    </row>
    <row r="722" spans="24:76">
      <c r="X722" s="21"/>
      <c r="BX722"/>
    </row>
    <row r="723" spans="24:76">
      <c r="X723" s="21"/>
      <c r="BX723"/>
    </row>
    <row r="724" spans="24:76">
      <c r="X724" s="21"/>
      <c r="BX724"/>
    </row>
    <row r="725" spans="24:76">
      <c r="X725" s="21"/>
      <c r="BX725"/>
    </row>
    <row r="726" spans="24:76">
      <c r="X726" s="21"/>
      <c r="BX726"/>
    </row>
    <row r="727" spans="24:76">
      <c r="X727" s="21"/>
      <c r="BX727"/>
    </row>
    <row r="728" spans="24:76">
      <c r="X728" s="21"/>
      <c r="BX728"/>
    </row>
    <row r="729" spans="24:76">
      <c r="X729" s="21"/>
      <c r="BX729"/>
    </row>
    <row r="730" spans="24:76">
      <c r="X730" s="21"/>
      <c r="BX730"/>
    </row>
    <row r="731" spans="24:76">
      <c r="X731" s="21"/>
      <c r="BX731"/>
    </row>
    <row r="732" spans="24:76">
      <c r="X732" s="21"/>
      <c r="BX732"/>
    </row>
    <row r="733" spans="24:76">
      <c r="X733" s="21"/>
      <c r="BX733"/>
    </row>
    <row r="734" spans="24:76">
      <c r="X734" s="21"/>
      <c r="BX734"/>
    </row>
    <row r="735" spans="24:76">
      <c r="X735" s="21"/>
      <c r="BX735"/>
    </row>
    <row r="736" spans="24:76">
      <c r="X736" s="21"/>
      <c r="BX736"/>
    </row>
    <row r="737" spans="24:76">
      <c r="X737" s="21"/>
      <c r="BX737"/>
    </row>
    <row r="738" spans="24:76">
      <c r="X738" s="21"/>
      <c r="BX738"/>
    </row>
    <row r="739" spans="24:76">
      <c r="X739" s="21"/>
      <c r="BX739"/>
    </row>
    <row r="740" spans="24:76">
      <c r="X740" s="21"/>
      <c r="BX740"/>
    </row>
    <row r="741" spans="24:76">
      <c r="X741" s="21"/>
      <c r="BX741"/>
    </row>
    <row r="742" spans="24:76">
      <c r="X742" s="21"/>
      <c r="BX742"/>
    </row>
    <row r="743" spans="24:76">
      <c r="X743" s="21"/>
      <c r="BX743"/>
    </row>
    <row r="744" spans="24:76">
      <c r="X744" s="21"/>
      <c r="BX744"/>
    </row>
    <row r="745" spans="24:76">
      <c r="X745" s="21"/>
      <c r="BX745"/>
    </row>
    <row r="746" spans="24:76">
      <c r="X746" s="21"/>
      <c r="BX746"/>
    </row>
    <row r="747" spans="24:76">
      <c r="X747" s="21"/>
      <c r="BX747"/>
    </row>
    <row r="748" spans="24:76">
      <c r="X748" s="21"/>
      <c r="BX748"/>
    </row>
    <row r="749" spans="24:76">
      <c r="X749" s="21"/>
      <c r="BX749"/>
    </row>
    <row r="750" spans="24:76">
      <c r="X750" s="21"/>
      <c r="BX750"/>
    </row>
    <row r="751" spans="24:76">
      <c r="X751" s="21"/>
      <c r="BX751"/>
    </row>
    <row r="752" spans="24:76">
      <c r="X752" s="21"/>
      <c r="BX752"/>
    </row>
    <row r="753" spans="24:76">
      <c r="X753" s="21"/>
      <c r="BX753"/>
    </row>
    <row r="754" spans="24:76">
      <c r="X754" s="21"/>
      <c r="BX754"/>
    </row>
    <row r="755" spans="24:76">
      <c r="X755" s="21"/>
      <c r="BX755"/>
    </row>
    <row r="756" spans="24:76">
      <c r="X756" s="21"/>
      <c r="BX756"/>
    </row>
    <row r="757" spans="24:76">
      <c r="X757" s="21"/>
      <c r="BX757"/>
    </row>
    <row r="758" spans="24:76">
      <c r="X758" s="21"/>
      <c r="BX758"/>
    </row>
    <row r="759" spans="24:76">
      <c r="X759" s="21"/>
      <c r="BX759"/>
    </row>
    <row r="760" spans="24:76">
      <c r="X760" s="21"/>
      <c r="BX760"/>
    </row>
    <row r="761" spans="24:76">
      <c r="X761" s="21"/>
      <c r="BX761"/>
    </row>
    <row r="762" spans="24:76">
      <c r="X762" s="21"/>
      <c r="BX762"/>
    </row>
    <row r="763" spans="24:76">
      <c r="X763" s="21"/>
      <c r="BX763"/>
    </row>
    <row r="764" spans="24:76">
      <c r="X764" s="21"/>
      <c r="BX764"/>
    </row>
    <row r="765" spans="24:76">
      <c r="X765" s="21"/>
      <c r="BX765"/>
    </row>
    <row r="766" spans="24:76">
      <c r="X766" s="21"/>
      <c r="BX766"/>
    </row>
    <row r="767" spans="24:76">
      <c r="X767" s="21"/>
      <c r="BX767"/>
    </row>
    <row r="768" spans="24:76">
      <c r="X768" s="21"/>
      <c r="BX768"/>
    </row>
    <row r="769" spans="24:76">
      <c r="X769" s="21"/>
      <c r="BX769"/>
    </row>
    <row r="770" spans="24:76">
      <c r="X770" s="21"/>
      <c r="BX770"/>
    </row>
    <row r="771" spans="24:76">
      <c r="X771" s="21"/>
      <c r="BX771"/>
    </row>
    <row r="772" spans="24:76">
      <c r="X772" s="21"/>
      <c r="BX772"/>
    </row>
    <row r="773" spans="24:76">
      <c r="X773" s="21"/>
      <c r="BX773"/>
    </row>
    <row r="774" spans="24:76">
      <c r="X774" s="21"/>
      <c r="BX774"/>
    </row>
    <row r="775" spans="24:76">
      <c r="X775" s="21"/>
      <c r="BX775"/>
    </row>
    <row r="776" spans="24:76">
      <c r="X776" s="21"/>
      <c r="BX776"/>
    </row>
    <row r="777" spans="24:76">
      <c r="X777" s="21"/>
      <c r="BX777"/>
    </row>
    <row r="778" spans="24:76">
      <c r="X778" s="21"/>
      <c r="BX778"/>
    </row>
    <row r="779" spans="24:76">
      <c r="X779" s="21"/>
      <c r="BX779"/>
    </row>
    <row r="780" spans="24:76">
      <c r="X780" s="21"/>
      <c r="BX780"/>
    </row>
    <row r="781" spans="24:76">
      <c r="X781" s="21"/>
      <c r="BX781"/>
    </row>
    <row r="782" spans="24:76">
      <c r="X782" s="21"/>
      <c r="BX782"/>
    </row>
    <row r="783" spans="24:76">
      <c r="X783" s="21"/>
      <c r="BX783"/>
    </row>
    <row r="784" spans="24:76">
      <c r="X784" s="21"/>
      <c r="BX784"/>
    </row>
    <row r="785" spans="24:76">
      <c r="X785" s="21"/>
      <c r="BX785"/>
    </row>
    <row r="786" spans="24:76">
      <c r="X786" s="21"/>
      <c r="BX786"/>
    </row>
    <row r="787" spans="24:76">
      <c r="X787" s="21"/>
      <c r="BX787"/>
    </row>
    <row r="788" spans="24:76">
      <c r="X788" s="21"/>
      <c r="BX788"/>
    </row>
    <row r="789" spans="24:76">
      <c r="X789" s="21"/>
      <c r="BX789"/>
    </row>
    <row r="790" spans="24:76">
      <c r="X790" s="21"/>
      <c r="BX790"/>
    </row>
    <row r="791" spans="24:76">
      <c r="X791" s="21"/>
      <c r="BX791"/>
    </row>
    <row r="792" spans="24:76">
      <c r="X792" s="21"/>
      <c r="BX792"/>
    </row>
    <row r="793" spans="24:76">
      <c r="X793" s="21"/>
      <c r="BX793"/>
    </row>
    <row r="794" spans="24:76">
      <c r="X794" s="21"/>
      <c r="BX794"/>
    </row>
    <row r="795" spans="24:76">
      <c r="X795" s="21"/>
      <c r="BX795"/>
    </row>
    <row r="796" spans="24:76">
      <c r="X796" s="21"/>
      <c r="BX796"/>
    </row>
    <row r="797" spans="24:76">
      <c r="X797" s="21"/>
      <c r="BX797"/>
    </row>
    <row r="798" spans="24:76">
      <c r="X798" s="21"/>
      <c r="BX798"/>
    </row>
    <row r="799" spans="24:76">
      <c r="X799" s="21"/>
      <c r="BX799"/>
    </row>
    <row r="800" spans="24:76">
      <c r="X800" s="21"/>
      <c r="BX800"/>
    </row>
    <row r="801" spans="24:76">
      <c r="X801" s="21"/>
      <c r="BX801"/>
    </row>
    <row r="802" spans="24:76">
      <c r="X802" s="21"/>
      <c r="BX802"/>
    </row>
    <row r="803" spans="24:76">
      <c r="X803" s="21"/>
      <c r="BX803"/>
    </row>
    <row r="804" spans="24:76">
      <c r="X804" s="21"/>
      <c r="BX804"/>
    </row>
    <row r="805" spans="24:76">
      <c r="X805" s="21"/>
      <c r="BX805"/>
    </row>
    <row r="806" spans="24:76">
      <c r="X806" s="21"/>
      <c r="BX806"/>
    </row>
    <row r="807" spans="24:76">
      <c r="X807" s="21"/>
      <c r="BX807"/>
    </row>
    <row r="808" spans="24:76">
      <c r="X808" s="21"/>
      <c r="BX808"/>
    </row>
    <row r="809" spans="24:76">
      <c r="X809" s="21"/>
      <c r="BX809"/>
    </row>
    <row r="810" spans="24:76">
      <c r="X810" s="21"/>
      <c r="BX810"/>
    </row>
    <row r="811" spans="24:76">
      <c r="X811" s="21"/>
      <c r="BX811"/>
    </row>
    <row r="812" spans="24:76">
      <c r="X812" s="21"/>
      <c r="BX812"/>
    </row>
    <row r="813" spans="24:76">
      <c r="X813" s="21"/>
      <c r="BX813"/>
    </row>
    <row r="814" spans="24:76">
      <c r="X814" s="21"/>
      <c r="BX814"/>
    </row>
    <row r="815" spans="24:76">
      <c r="X815" s="21"/>
      <c r="BX815"/>
    </row>
    <row r="816" spans="24:76">
      <c r="X816" s="21"/>
      <c r="BX816"/>
    </row>
    <row r="817" spans="24:76">
      <c r="X817" s="21"/>
      <c r="BX817"/>
    </row>
    <row r="818" spans="24:76">
      <c r="X818" s="21"/>
      <c r="BX818"/>
    </row>
    <row r="819" spans="24:76">
      <c r="X819" s="21"/>
      <c r="BX819"/>
    </row>
    <row r="820" spans="24:76">
      <c r="X820" s="21"/>
      <c r="BX820"/>
    </row>
    <row r="821" spans="24:76">
      <c r="X821" s="21"/>
      <c r="BX821"/>
    </row>
    <row r="822" spans="24:76">
      <c r="X822" s="21"/>
      <c r="BX822"/>
    </row>
    <row r="823" spans="24:76">
      <c r="X823" s="21"/>
      <c r="BX823"/>
    </row>
    <row r="824" spans="24:76">
      <c r="X824" s="21"/>
      <c r="BX824"/>
    </row>
    <row r="825" spans="24:76">
      <c r="X825" s="21"/>
      <c r="BX825"/>
    </row>
    <row r="826" spans="24:76">
      <c r="X826" s="21"/>
      <c r="BX826"/>
    </row>
    <row r="827" spans="24:76">
      <c r="X827" s="21"/>
      <c r="BX827"/>
    </row>
    <row r="828" spans="24:76">
      <c r="X828" s="21"/>
      <c r="BX828"/>
    </row>
    <row r="829" spans="24:76">
      <c r="X829" s="21"/>
      <c r="BX829"/>
    </row>
    <row r="830" spans="24:76">
      <c r="X830" s="21"/>
      <c r="BX830"/>
    </row>
    <row r="831" spans="24:76">
      <c r="X831" s="21"/>
      <c r="BX831"/>
    </row>
    <row r="832" spans="24:76">
      <c r="X832" s="21"/>
      <c r="BX832"/>
    </row>
    <row r="833" spans="24:76">
      <c r="X833" s="21"/>
      <c r="BX833"/>
    </row>
    <row r="834" spans="24:76">
      <c r="X834" s="21"/>
      <c r="BX834"/>
    </row>
    <row r="835" spans="24:76">
      <c r="X835" s="21"/>
      <c r="BX835"/>
    </row>
    <row r="836" spans="24:76">
      <c r="X836" s="21"/>
      <c r="BX836"/>
    </row>
    <row r="837" spans="24:76">
      <c r="X837" s="21"/>
      <c r="BX837"/>
    </row>
    <row r="838" spans="24:76">
      <c r="X838" s="21"/>
      <c r="BX838"/>
    </row>
    <row r="839" spans="24:76">
      <c r="X839" s="21"/>
      <c r="BX839"/>
    </row>
    <row r="840" spans="24:76">
      <c r="X840" s="21"/>
      <c r="BX840"/>
    </row>
    <row r="841" spans="24:76">
      <c r="X841" s="21"/>
      <c r="BX841"/>
    </row>
    <row r="842" spans="24:76">
      <c r="X842" s="21"/>
      <c r="BX842"/>
    </row>
    <row r="843" spans="24:76">
      <c r="X843" s="21"/>
      <c r="BX843"/>
    </row>
    <row r="844" spans="24:76">
      <c r="X844" s="21"/>
      <c r="BX844"/>
    </row>
    <row r="845" spans="24:76">
      <c r="X845" s="21"/>
      <c r="BX845"/>
    </row>
    <row r="846" spans="24:76">
      <c r="X846" s="21"/>
      <c r="BX846"/>
    </row>
    <row r="847" spans="24:76">
      <c r="X847" s="21"/>
      <c r="BX847"/>
    </row>
    <row r="848" spans="24:76">
      <c r="X848" s="21"/>
      <c r="BX848"/>
    </row>
    <row r="849" spans="24:76">
      <c r="X849" s="21"/>
      <c r="BX849"/>
    </row>
    <row r="850" spans="24:76">
      <c r="X850" s="21"/>
      <c r="BX850"/>
    </row>
    <row r="851" spans="24:76">
      <c r="X851" s="21"/>
      <c r="BX851"/>
    </row>
    <row r="852" spans="24:76">
      <c r="X852" s="21"/>
      <c r="BX852"/>
    </row>
    <row r="853" spans="24:76">
      <c r="X853" s="21"/>
      <c r="BX853"/>
    </row>
    <row r="854" spans="24:76">
      <c r="X854" s="21"/>
      <c r="BX854"/>
    </row>
    <row r="855" spans="24:76">
      <c r="X855" s="21"/>
      <c r="BX855"/>
    </row>
    <row r="856" spans="24:76">
      <c r="X856" s="21"/>
      <c r="BX856"/>
    </row>
    <row r="857" spans="24:76">
      <c r="X857" s="21"/>
      <c r="BX857"/>
    </row>
    <row r="858" spans="24:76">
      <c r="X858" s="21"/>
      <c r="BX858"/>
    </row>
    <row r="859" spans="24:76">
      <c r="X859" s="21"/>
      <c r="BX859"/>
    </row>
    <row r="860" spans="24:76">
      <c r="X860" s="21"/>
      <c r="BX860"/>
    </row>
    <row r="861" spans="24:76">
      <c r="X861" s="21"/>
      <c r="BX861"/>
    </row>
    <row r="862" spans="24:76">
      <c r="X862" s="21"/>
      <c r="BX862"/>
    </row>
    <row r="863" spans="24:76">
      <c r="X863" s="21"/>
      <c r="BX863"/>
    </row>
    <row r="864" spans="24:76">
      <c r="X864" s="21"/>
      <c r="BX864"/>
    </row>
    <row r="865" spans="24:76">
      <c r="X865" s="21"/>
      <c r="BX865"/>
    </row>
    <row r="866" spans="24:76">
      <c r="X866" s="21"/>
      <c r="BX866"/>
    </row>
    <row r="867" spans="24:76">
      <c r="X867" s="21"/>
      <c r="BX867"/>
    </row>
    <row r="868" spans="24:76">
      <c r="X868" s="21"/>
      <c r="BX868"/>
    </row>
    <row r="869" spans="24:76">
      <c r="X869" s="21"/>
      <c r="BX869"/>
    </row>
    <row r="870" spans="24:76">
      <c r="X870" s="21"/>
      <c r="BX870"/>
    </row>
    <row r="871" spans="24:76">
      <c r="X871" s="21"/>
      <c r="BX871"/>
    </row>
    <row r="872" spans="24:76">
      <c r="X872" s="21"/>
      <c r="BX872"/>
    </row>
    <row r="873" spans="24:76">
      <c r="X873" s="21"/>
      <c r="BX873"/>
    </row>
    <row r="874" spans="24:76">
      <c r="X874" s="21"/>
      <c r="BX874"/>
    </row>
    <row r="875" spans="24:76">
      <c r="X875" s="21"/>
      <c r="BX875"/>
    </row>
    <row r="876" spans="24:76">
      <c r="X876" s="21"/>
      <c r="BX876"/>
    </row>
    <row r="877" spans="24:76">
      <c r="X877" s="21"/>
      <c r="BX877"/>
    </row>
    <row r="878" spans="24:76">
      <c r="X878" s="21"/>
      <c r="BX878"/>
    </row>
    <row r="879" spans="24:76">
      <c r="X879" s="21"/>
      <c r="BX879"/>
    </row>
    <row r="880" spans="24:76">
      <c r="X880" s="21"/>
      <c r="BX880"/>
    </row>
    <row r="881" spans="24:76">
      <c r="X881" s="21"/>
      <c r="BX881"/>
    </row>
    <row r="882" spans="24:76">
      <c r="X882" s="21"/>
      <c r="BX882"/>
    </row>
    <row r="883" spans="24:76">
      <c r="X883" s="21"/>
      <c r="BX883"/>
    </row>
    <row r="884" spans="24:76">
      <c r="X884" s="21"/>
      <c r="BX884"/>
    </row>
    <row r="885" spans="24:76">
      <c r="X885" s="21"/>
      <c r="BX885"/>
    </row>
    <row r="886" spans="24:76">
      <c r="X886" s="21"/>
      <c r="BX886"/>
    </row>
    <row r="887" spans="24:76">
      <c r="X887" s="21"/>
      <c r="BX887"/>
    </row>
    <row r="888" spans="24:76">
      <c r="X888" s="21"/>
      <c r="BX888"/>
    </row>
    <row r="889" spans="24:76">
      <c r="X889" s="21"/>
      <c r="BX889"/>
    </row>
    <row r="890" spans="24:76">
      <c r="X890" s="21"/>
      <c r="BX890"/>
    </row>
    <row r="891" spans="24:76">
      <c r="X891" s="21"/>
      <c r="BX891"/>
    </row>
    <row r="892" spans="24:76">
      <c r="X892" s="21"/>
      <c r="BX892"/>
    </row>
    <row r="893" spans="24:76">
      <c r="X893" s="21"/>
      <c r="BX893"/>
    </row>
    <row r="894" spans="24:76">
      <c r="X894" s="21"/>
      <c r="BX894"/>
    </row>
    <row r="895" spans="24:76">
      <c r="X895" s="21"/>
      <c r="BX895"/>
    </row>
    <row r="896" spans="24:76">
      <c r="X896" s="21"/>
      <c r="BX896"/>
    </row>
    <row r="897" spans="24:76">
      <c r="X897" s="21"/>
      <c r="BX897"/>
    </row>
    <row r="898" spans="24:76">
      <c r="X898" s="21"/>
      <c r="BX898"/>
    </row>
    <row r="899" spans="24:76">
      <c r="X899" s="21"/>
      <c r="BX899"/>
    </row>
    <row r="900" spans="24:76">
      <c r="X900" s="21"/>
      <c r="BX900"/>
    </row>
  </sheetData>
  <sheetProtection sheet="1" objects="1" scenarios="1"/>
  <mergeCells count="12">
    <mergeCell ref="BD3:BD4"/>
    <mergeCell ref="BB3:BC4"/>
    <mergeCell ref="B14:C15"/>
    <mergeCell ref="B2:B3"/>
    <mergeCell ref="AA15:AA16"/>
    <mergeCell ref="AA18:AA19"/>
    <mergeCell ref="AA21:AA22"/>
    <mergeCell ref="AA24:AA25"/>
    <mergeCell ref="Z15:Z16"/>
    <mergeCell ref="Z18:Z19"/>
    <mergeCell ref="Z21:Z22"/>
    <mergeCell ref="Z24:Z25"/>
  </mergeCells>
  <pageMargins left="0.7" right="0.7" top="0.75" bottom="0.75" header="0.3" footer="0.3"/>
  <pageSetup orientation="portrait" r:id="rId1"/>
  <drawing r:id="rId2"/>
  <tableParts count="8">
    <tablePart r:id="rId3"/>
    <tablePart r:id="rId4"/>
    <tablePart r:id="rId5"/>
    <tablePart r:id="rId6"/>
    <tablePart r:id="rId7"/>
    <tablePart r:id="rId8"/>
    <tablePart r:id="rId9"/>
    <tablePart r:id="rId10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</sheetPr>
  <dimension ref="A1:CO900"/>
  <sheetViews>
    <sheetView showZeros="0" zoomScaleNormal="100" workbookViewId="0">
      <selection activeCell="C117" sqref="C117"/>
    </sheetView>
  </sheetViews>
  <sheetFormatPr defaultColWidth="8.77734375" defaultRowHeight="14.4"/>
  <cols>
    <col min="1" max="1" width="2.6640625" style="4" customWidth="1"/>
    <col min="2" max="2" width="48.6640625" style="4" customWidth="1"/>
    <col min="3" max="3" width="2.77734375" style="4" customWidth="1"/>
    <col min="4" max="4" width="53.44140625" style="4" customWidth="1"/>
    <col min="5" max="5" width="5.6640625" style="4" customWidth="1"/>
    <col min="6" max="6" width="53.44140625" style="4" customWidth="1"/>
    <col min="7" max="7" width="5.6640625" style="4" customWidth="1"/>
    <col min="8" max="8" width="53.44140625" style="4" customWidth="1"/>
    <col min="9" max="9" width="5.6640625" style="4" customWidth="1"/>
    <col min="10" max="10" width="53.44140625" style="4" customWidth="1"/>
    <col min="11" max="23" width="77.6640625" style="4" customWidth="1"/>
    <col min="24" max="24" width="3.6640625" customWidth="1"/>
    <col min="25" max="25" width="8.6640625" style="4" customWidth="1"/>
    <col min="27" max="27" width="30.6640625" customWidth="1"/>
    <col min="36" max="36" width="30.6640625" customWidth="1"/>
    <col min="43" max="43" width="8.6640625" style="4" customWidth="1"/>
    <col min="44" max="44" width="8.77734375" style="4"/>
    <col min="45" max="45" width="21.6640625" customWidth="1"/>
    <col min="47" max="47" width="9.109375" customWidth="1"/>
    <col min="52" max="53" width="5.6640625" customWidth="1"/>
    <col min="54" max="54" width="21.6640625" customWidth="1"/>
    <col min="55" max="55" width="8.77734375" customWidth="1"/>
    <col min="56" max="60" width="10.6640625" customWidth="1"/>
    <col min="61" max="61" width="36.109375" customWidth="1"/>
    <col min="62" max="63" width="10.6640625" customWidth="1"/>
    <col min="64" max="64" width="10.44140625" customWidth="1"/>
    <col min="65" max="66" width="10.6640625" customWidth="1"/>
    <col min="67" max="67" width="9.77734375" customWidth="1"/>
    <col min="68" max="68" width="31.77734375" customWidth="1"/>
    <col min="69" max="72" width="10.6640625" customWidth="1"/>
    <col min="73" max="73" width="10.44140625" customWidth="1"/>
    <col min="74" max="74" width="5.6640625" customWidth="1"/>
    <col min="76" max="76" width="15.77734375" style="1" customWidth="1"/>
    <col min="77" max="77" width="9.44140625" customWidth="1"/>
    <col min="78" max="78" width="25.33203125" customWidth="1"/>
    <col min="86" max="86" width="9.44140625" customWidth="1"/>
    <col min="87" max="87" width="25.33203125" customWidth="1"/>
  </cols>
  <sheetData>
    <row r="1" spans="1:76" ht="14.25" customHeight="1">
      <c r="B1" s="7"/>
      <c r="C1" s="6"/>
      <c r="D1" s="6"/>
      <c r="E1" s="6"/>
      <c r="F1" s="6"/>
      <c r="I1" s="6"/>
      <c r="K1" s="7"/>
      <c r="L1" s="7"/>
      <c r="M1" s="7"/>
      <c r="N1" s="7"/>
      <c r="O1" s="7"/>
      <c r="P1" s="7"/>
      <c r="Q1" s="7"/>
      <c r="X1" s="21"/>
      <c r="Y1" s="6"/>
      <c r="Z1" s="8" t="s">
        <v>21</v>
      </c>
      <c r="AA1" s="8" t="s">
        <v>20</v>
      </c>
      <c r="AB1" s="8">
        <f>Date_Control!$C$21</f>
        <v>2021</v>
      </c>
      <c r="AC1" s="8">
        <f>Date_Control!$C$20</f>
        <v>2022</v>
      </c>
      <c r="AD1" s="8">
        <f>Date_Control!$C$19</f>
        <v>2023</v>
      </c>
      <c r="AE1" s="8">
        <f>Date_Control!$C$18</f>
        <v>2024</v>
      </c>
      <c r="AF1" s="8">
        <f>Date_Control!$C$17</f>
        <v>2025</v>
      </c>
      <c r="AG1" s="8">
        <f>Date_Control!$C$16</f>
        <v>2026</v>
      </c>
      <c r="AI1" s="12" t="s">
        <v>21</v>
      </c>
      <c r="AJ1" s="12" t="s">
        <v>20</v>
      </c>
      <c r="AK1" s="12">
        <f>Date_Control!$C$21</f>
        <v>2021</v>
      </c>
      <c r="AL1" s="12">
        <f>Date_Control!$C$20</f>
        <v>2022</v>
      </c>
      <c r="AM1" s="12">
        <f>Date_Control!$C$19</f>
        <v>2023</v>
      </c>
      <c r="AN1" s="12">
        <f>Date_Control!$C$18</f>
        <v>2024</v>
      </c>
      <c r="AO1" s="12">
        <f>Date_Control!$C$17</f>
        <v>2025</v>
      </c>
      <c r="AP1" s="12">
        <f>Date_Control!$C$16</f>
        <v>2026</v>
      </c>
      <c r="AQ1" s="6"/>
      <c r="BX1"/>
    </row>
    <row r="2" spans="1:76" s="10" customFormat="1" ht="19.2" customHeight="1">
      <c r="A2" s="9"/>
      <c r="B2" s="169" t="str">
        <f>Date_Control!$B$4</f>
        <v>JULY 2026</v>
      </c>
      <c r="C2" s="4"/>
      <c r="D2" s="22" t="str">
        <f>IF(Main_Page!$C$10="Click Here to Select District", "No District Selected", $AA$2)</f>
        <v>No District Selected</v>
      </c>
      <c r="E2" s="4"/>
      <c r="F2" s="22" t="str">
        <f>IF(Main_Page!$C$10="Click Here to Select District", "No District Selected", $AA$2)</f>
        <v>No District Selected</v>
      </c>
      <c r="H2" s="33" t="str">
        <f>IF(Main_Page!$C$10="Click Here to Select District", "No District Selected", $AA$2)</f>
        <v>No District Selected</v>
      </c>
      <c r="I2" s="4"/>
      <c r="J2" s="158" t="str">
        <f>IF(Main_Page!$C$10="Click Here to Select District", "No District Selected", $AA$2)</f>
        <v>No District Selected</v>
      </c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37"/>
      <c r="Y2" s="4"/>
      <c r="Z2" s="38" t="str">
        <f t="array" ref="Z2">IFERROR(INDEX(RBS1a[Unit],SMALL(IF(RBS1a[Unit]=$BD$3,ROW(RBS1a[])-MIN(ROW(RBS1a[]))+1),AH2)), "")</f>
        <v/>
      </c>
      <c r="AA2" s="39" t="e">
        <f t="array" ref="AA2">INDEX(RBS1a[Name],SMALL(IF(RBS1a[Unit]=$BD$3,ROW(RBS1a[])-MIN(ROW(RBS1a[]))+1),AH2))</f>
        <v>#NUM!</v>
      </c>
      <c r="AB2" s="40" t="str">
        <f t="array" ref="AB2">IFERROR(INDEX(RBS1a[Column1],SMALL(IF(RBS1a[Unit]=$BD$3,ROW(RBS1a[])-MIN(ROW(RBS1a[]))+1),AH2)), "")</f>
        <v/>
      </c>
      <c r="AC2" s="40" t="str">
        <f t="array" ref="AC2">IFERROR(INDEX(RBS1a[Column2],SMALL(IF(RBS1a[Unit]=$BD$3,ROW(RBS1a[])-MIN(ROW(RBS1a[]))+1),AH2)), "")</f>
        <v/>
      </c>
      <c r="AD2" s="40" t="str">
        <f t="array" ref="AD2">IFERROR(INDEX(RBS1a[Column3],SMALL(IF(RBS1a[Unit]=$BD$3,ROW(RBS1a[])-MIN(ROW(RBS1a[]))+1),AH2)), "")</f>
        <v/>
      </c>
      <c r="AE2" s="40" t="str">
        <f t="array" ref="AE2">IFERROR(INDEX(RBS1a[Column4],SMALL(IF(RBS1a[Unit]=$BD$3,ROW(RBS1a[])-MIN(ROW(RBS1a[]))+1),AH2)), "")</f>
        <v/>
      </c>
      <c r="AF2" s="40" t="str">
        <f t="array" ref="AF2">IFERROR(INDEX(RBS1a[Column5],SMALL(IF(RBS1a[Unit]=$BD$3,ROW(RBS1a[])-MIN(ROW(RBS1a[]))+1),AH2)), "")</f>
        <v/>
      </c>
      <c r="AG2" s="40" t="str">
        <f t="array" ref="AG2">IFERROR(INDEX(RBS1a[Column6],SMALL(IF(RBS1a[Unit]=$BD$3,ROW(RBS1a[])-MIN(ROW(RBS1a[]))+1),AH2)), "")</f>
        <v/>
      </c>
      <c r="AH2" s="41">
        <v>1</v>
      </c>
      <c r="AI2" s="42" t="str">
        <f t="array" ref="AI2">IFERROR(INDEX(RBS1b[Unit],SMALL(IF(RBS1b[Unit]=$BD$3,ROW(RBS1b[])-MIN(ROW(RBS1b[]))+1),AH2)), "")</f>
        <v/>
      </c>
      <c r="AJ2" s="42" t="str">
        <f t="array" ref="AJ2">IFERROR(INDEX(RBS1b[Name],SMALL(IF(RBS1b[Unit]=$BD$3,ROW(RBS1b[])-MIN(ROW(RBS1b[]))+1),AH2)), "")</f>
        <v/>
      </c>
      <c r="AK2" s="43" t="str">
        <f t="array" ref="AK2">IFERROR(INDEX(RBS1b[Column1],SMALL(IF(RBS1b[Unit]=$BD$3,ROW(RBS1b[])-MIN(ROW(RBS1b[]))+1),AH2)), "")</f>
        <v/>
      </c>
      <c r="AL2" s="43" t="str">
        <f t="array" ref="AL2">IFERROR(INDEX(RBS1b[Column2],SMALL(IF(RBS1b[Unit]=$BD$3,ROW(RBS1b[])-MIN(ROW(RBS1b[]))+1),AH2)), "")</f>
        <v/>
      </c>
      <c r="AM2" s="43" t="str">
        <f t="array" ref="AM2">IFERROR(INDEX(RBS1b[Column3],SMALL(IF(RBS1b[Unit]=$BD$3,ROW(RBS1b[])-MIN(ROW(RBS1b[]))+1),AH2)), "")</f>
        <v/>
      </c>
      <c r="AN2" s="43" t="str">
        <f t="array" ref="AN2">IFERROR(INDEX(RBS1b[Column4],SMALL(IF(RBS1b[Unit]=$BD$3,ROW(RBS1b[])-MIN(ROW(RBS1b[]))+1),AH2)), "")</f>
        <v/>
      </c>
      <c r="AO2" s="43" t="str">
        <f t="array" ref="AO2">IFERROR(INDEX(RBS1b[Column5],SMALL(IF(RBS1b[Unit]=$BD$3,ROW(RBS1b[])-MIN(ROW(RBS1b[]))+1),AH2)), "")</f>
        <v/>
      </c>
      <c r="AP2" s="43" t="str">
        <f t="array" ref="AP2">IFERROR(INDEX(RBS1b[Column6],SMALL(IF(RBS1b[Unit]=$BD$3,ROW(RBS1b[])-MIN(ROW(RBS1b[]))+1),AH2)), "")</f>
        <v/>
      </c>
      <c r="AQ2" s="4"/>
      <c r="AR2" s="4"/>
      <c r="AS2"/>
      <c r="AT2" s="32">
        <f>Date_Control!$C$21</f>
        <v>2021</v>
      </c>
      <c r="AU2" s="32">
        <f>Date_Control!$C$20</f>
        <v>2022</v>
      </c>
      <c r="AV2" s="32">
        <f>Date_Control!$C$19</f>
        <v>2023</v>
      </c>
      <c r="AW2" s="32">
        <f>Date_Control!$C$18</f>
        <v>2024</v>
      </c>
      <c r="AX2" s="32">
        <f>Date_Control!$C$17</f>
        <v>2025</v>
      </c>
      <c r="AY2" s="32">
        <f>Date_Control!$C$16</f>
        <v>2026</v>
      </c>
      <c r="AZ2"/>
      <c r="BA2"/>
      <c r="BD2" s="44">
        <f>IF($BL1="T", MAX(BD8:BD103), 0)</f>
        <v>0</v>
      </c>
      <c r="BE2" s="44">
        <f>IF($BL1="T", MAX(BE8:BE103), 0)</f>
        <v>0</v>
      </c>
      <c r="BF2" s="44">
        <f t="shared" ref="BF2:BU2" si="0">IF($BL1="T", MAX(BF4:BF103), 0)</f>
        <v>0</v>
      </c>
      <c r="BJ2" s="44">
        <f t="shared" si="0"/>
        <v>0</v>
      </c>
      <c r="BK2" s="44">
        <f t="shared" si="0"/>
        <v>0</v>
      </c>
      <c r="BL2" s="44">
        <f t="shared" si="0"/>
        <v>0</v>
      </c>
      <c r="BM2" s="44">
        <f t="shared" si="0"/>
        <v>0</v>
      </c>
      <c r="BN2" s="44">
        <f t="shared" si="0"/>
        <v>0</v>
      </c>
      <c r="BQ2"/>
      <c r="BR2"/>
      <c r="BS2"/>
      <c r="BT2" s="44">
        <f t="shared" si="0"/>
        <v>0</v>
      </c>
      <c r="BU2" s="44">
        <f t="shared" si="0"/>
        <v>0</v>
      </c>
      <c r="BX2"/>
    </row>
    <row r="3" spans="1:76" ht="14.55" customHeight="1">
      <c r="B3" s="170"/>
      <c r="C3" s="7"/>
      <c r="D3" s="7"/>
      <c r="E3" s="7"/>
      <c r="F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21"/>
      <c r="Y3" s="7"/>
      <c r="Z3" s="38" t="str">
        <f t="array" ref="Z3">IFERROR(INDEX(RBS2a[Unit],SMALL(IF(RBS2a[Unit]=$BD$3,ROW(RBS2a[])-MIN(ROW(RBS2a[]))+1),AH3)), "")</f>
        <v/>
      </c>
      <c r="AA3" s="39" t="e">
        <f t="array" ref="AA3">INDEX(RBS2a[Name],SMALL(IF(RBS2a[Unit]=$BD$3,ROW(RBS2a[])-MIN(ROW(RBS2a[]))+1),AH3))</f>
        <v>#NUM!</v>
      </c>
      <c r="AB3" s="40" t="str">
        <f t="array" ref="AB3">IFERROR(INDEX(RBS2a[Column1],SMALL(IF(RBS2a[Unit]=$BD$3,ROW(RBS2a[])-MIN(ROW(RBS2a[]))+1),AH3)), "")</f>
        <v/>
      </c>
      <c r="AC3" s="40" t="str">
        <f t="array" ref="AC3">IFERROR(INDEX(RBS2a[Column2],SMALL(IF(RBS2a[Unit]=$BD$3,ROW(RBS2a[])-MIN(ROW(RBS2a[]))+1),AH3)), "")</f>
        <v/>
      </c>
      <c r="AD3" s="40" t="str">
        <f t="array" ref="AD3">IFERROR(INDEX(RBS2a[Column3],SMALL(IF(RBS2a[Unit]=$BD$3,ROW(RBS2a[])-MIN(ROW(RBS2a[]))+1),AH3)), "")</f>
        <v/>
      </c>
      <c r="AE3" s="40" t="str">
        <f t="array" ref="AE3">IFERROR(INDEX(RBS2a[Column4],SMALL(IF(RBS2a[Unit]=$BD$3,ROW(RBS2a[])-MIN(ROW(RBS2a[]))+1),AH3)), "")</f>
        <v/>
      </c>
      <c r="AF3" s="40" t="str">
        <f t="array" ref="AF3">IFERROR(INDEX(RBS2a[Column5],SMALL(IF(RBS2a[Unit]=$BD$3,ROW(RBS2a[])-MIN(ROW(RBS2a[]))+1),AH3)), "")</f>
        <v/>
      </c>
      <c r="AG3" s="40" t="str">
        <f t="array" ref="AG3">IFERROR(INDEX(RBS2a[Column6],SMALL(IF(RBS2a[Unit]=$BD$3,ROW(RBS2a[])-MIN(ROW(RBS2a[]))+1),AH3)), "")</f>
        <v/>
      </c>
      <c r="AH3" s="41">
        <v>1</v>
      </c>
      <c r="AI3" s="42" t="str">
        <f t="array" ref="AI3">IFERROR(INDEX(RBS2b[Unit],SMALL(IF(RBS2b[Unit]=$BD$3,ROW(RBS2b[])-MIN(ROW(RBS2b[]))+1),AH3)), "")</f>
        <v/>
      </c>
      <c r="AJ3" s="42" t="str">
        <f t="array" ref="AJ3">IFERROR(INDEX(RBS2b[Name],SMALL(IF(RBS2b[Unit]=$BD$3,ROW(RBS2b[])-MIN(ROW(RBS2b[]))+1),AH3)), "")</f>
        <v/>
      </c>
      <c r="AK3" s="43" t="str">
        <f t="array" ref="AK3">IFERROR(INDEX(RBS2b[Column1],SMALL(IF(RBS2b[Unit]=$BD$3,ROW(RBS2b[])-MIN(ROW(RBS2b[]))+1),AH3)), "")</f>
        <v/>
      </c>
      <c r="AL3" s="43" t="str">
        <f t="array" ref="AL3">IFERROR(INDEX(RBS2b[Column2],SMALL(IF(RBS2b[Unit]=$BD$3,ROW(RBS2b[])-MIN(ROW(RBS2b[]))+1),AH3)), "")</f>
        <v/>
      </c>
      <c r="AM3" s="43" t="str">
        <f t="array" ref="AM3">IFERROR(INDEX(RBS2b[Column3],SMALL(IF(RBS2b[Unit]=$BD$3,ROW(RBS2b[])-MIN(ROW(RBS2b[]))+1),AH3)), "")</f>
        <v/>
      </c>
      <c r="AN3" s="43" t="str">
        <f t="array" ref="AN3">IFERROR(INDEX(RBS2b[Column4],SMALL(IF(RBS2b[Unit]=$BD$3,ROW(RBS2b[])-MIN(ROW(RBS2b[]))+1),AH3)), "")</f>
        <v/>
      </c>
      <c r="AO3" s="43" t="str">
        <f t="array" ref="AO3">IFERROR(INDEX(RBS2b[Column5],SMALL(IF(RBS2b[Unit]=$BD$3,ROW(RBS2b[])-MIN(ROW(RBS2b[]))+1),AH3)), "")</f>
        <v/>
      </c>
      <c r="AP3" s="43" t="str">
        <f t="array" ref="AP3">IFERROR(INDEX(RBS2b[Column6],SMALL(IF(RBS2b[Unit]=$BD$3,ROW(RBS2b[])-MIN(ROW(RBS2b[]))+1),AH3)), "")</f>
        <v/>
      </c>
      <c r="AQ3" s="7"/>
      <c r="AR3" t="s">
        <v>32</v>
      </c>
      <c r="AS3" s="59" t="s">
        <v>16</v>
      </c>
      <c r="AT3" s="17" t="str">
        <f t="shared" ref="AT3:AY3" si="1">AB2</f>
        <v/>
      </c>
      <c r="AU3" s="17" t="str">
        <f t="shared" si="1"/>
        <v/>
      </c>
      <c r="AV3" s="17" t="str">
        <f t="shared" si="1"/>
        <v/>
      </c>
      <c r="AW3" s="17" t="str">
        <f t="shared" si="1"/>
        <v/>
      </c>
      <c r="AX3" s="17" t="str">
        <f t="shared" si="1"/>
        <v/>
      </c>
      <c r="AY3" s="17" t="str">
        <f t="shared" si="1"/>
        <v/>
      </c>
      <c r="BB3" s="161" t="s">
        <v>47</v>
      </c>
      <c r="BC3" s="164"/>
      <c r="BD3" s="162" t="str">
        <f>LEFT(Main_Page!$C$10,3)</f>
        <v>Cli</v>
      </c>
      <c r="BX3"/>
    </row>
    <row r="4" spans="1:76" ht="14.55" customHeight="1">
      <c r="X4" s="21"/>
      <c r="Z4" s="38" t="str">
        <f t="array" ref="Z4">IFERROR(INDEX(RBS3a[Unit],SMALL(IF(RBS3a[Unit]=$BD$3,ROW(RBS3a[])-MIN(ROW(RBS3a[]))+1),AH4)), "")</f>
        <v/>
      </c>
      <c r="AA4" s="39" t="e">
        <f t="array" ref="AA4">INDEX(RBS3a[Name],SMALL(IF(RBS3a[Unit]=$BD$3,ROW(RBS3a[])-MIN(ROW(RBS3a[]))+1),AH4))</f>
        <v>#NUM!</v>
      </c>
      <c r="AB4" s="40" t="str">
        <f t="array" ref="AB4">IFERROR(INDEX(RBS3a[Column1],SMALL(IF(RBS3a[Unit]=$BD$3,ROW(RBS3a[])-MIN(ROW(RBS3a[]))+1),AH4)), "")</f>
        <v/>
      </c>
      <c r="AC4" s="40" t="str">
        <f t="array" ref="AC4">IFERROR(INDEX(RBS3a[Column2],SMALL(IF(RBS3a[Unit]=$BD$3,ROW(RBS3a[])-MIN(ROW(RBS3a[]))+1),AH4)), "")</f>
        <v/>
      </c>
      <c r="AD4" s="40" t="str">
        <f t="array" ref="AD4">IFERROR(INDEX(RBS3a[Column3],SMALL(IF(RBS3a[Unit]=$BD$3,ROW(RBS3a[])-MIN(ROW(RBS3a[]))+1),AH4)), "")</f>
        <v/>
      </c>
      <c r="AE4" s="40" t="str">
        <f t="array" ref="AE4">IFERROR(INDEX(RBS3a[Column4],SMALL(IF(RBS3a[Unit]=$BD$3,ROW(RBS3a[])-MIN(ROW(RBS3a[]))+1),AH4)), "")</f>
        <v/>
      </c>
      <c r="AF4" s="40" t="str">
        <f t="array" ref="AF4">IFERROR(INDEX(RBS3a[Column5],SMALL(IF(RBS3a[Unit]=$BD$3,ROW(RBS3a[])-MIN(ROW(RBS3a[]))+1),AH4)), "")</f>
        <v/>
      </c>
      <c r="AG4" s="40" t="str">
        <f t="array" ref="AG4">IFERROR(INDEX(RBS3a[Column6],SMALL(IF(RBS3a[Unit]=$BD$3,ROW(RBS3a[])-MIN(ROW(RBS3a[]))+1),AH4)), "")</f>
        <v/>
      </c>
      <c r="AH4" s="41">
        <v>1</v>
      </c>
      <c r="AI4" s="42" t="str">
        <f t="array" ref="AI4">IFERROR(INDEX(RBS3b[Unit],SMALL(IF(RBS3b[Unit]=$BD$3,ROW(RBS3b[])-MIN(ROW(RBS3b[]))+1),AH4)), "")</f>
        <v/>
      </c>
      <c r="AJ4" s="42" t="str">
        <f t="array" ref="AJ4">IFERROR(INDEX(RBS3b[Name],SMALL(IF(RBS3b[Unit]=$BD$3,ROW(RBS3b[])-MIN(ROW(RBS3b[]))+1),AH4)), "")</f>
        <v/>
      </c>
      <c r="AK4" s="43" t="str">
        <f t="array" ref="AK4">IFERROR(INDEX(RBS3b[Column1],SMALL(IF(RBS3b[Unit]=$BD$3,ROW(RBS3b[])-MIN(ROW(RBS3b[]))+1),AH4)), "")</f>
        <v/>
      </c>
      <c r="AL4" s="43" t="str">
        <f t="array" ref="AL4">IFERROR(INDEX(RBS3b[Column2],SMALL(IF(RBS3b[Unit]=$BD$3,ROW(RBS3b[])-MIN(ROW(RBS3b[]))+1),AH4)), "")</f>
        <v/>
      </c>
      <c r="AM4" s="43" t="str">
        <f t="array" ref="AM4">IFERROR(INDEX(RBS3b[Column3],SMALL(IF(RBS3b[Unit]=$BD$3,ROW(RBS3b[])-MIN(ROW(RBS3b[]))+1),AH4)), "")</f>
        <v/>
      </c>
      <c r="AN4" s="43" t="str">
        <f t="array" ref="AN4">IFERROR(INDEX(RBS3b[Column4],SMALL(IF(RBS3b[Unit]=$BD$3,ROW(RBS3b[])-MIN(ROW(RBS3b[]))+1),AH4)), "")</f>
        <v/>
      </c>
      <c r="AO4" s="43" t="str">
        <f t="array" ref="AO4">IFERROR(INDEX(RBS3b[Column5],SMALL(IF(RBS3b[Unit]=$BD$3,ROW(RBS3b[])-MIN(ROW(RBS3b[]))+1),AH4)), "")</f>
        <v/>
      </c>
      <c r="AP4" s="43" t="str">
        <f t="array" ref="AP4">IFERROR(INDEX(RBS3b[Column6],SMALL(IF(RBS3b[Unit]=$BD$3,ROW(RBS3b[])-MIN(ROW(RBS3b[]))+1),AH4)), "")</f>
        <v/>
      </c>
      <c r="AS4" s="59" t="s">
        <v>17</v>
      </c>
      <c r="AT4" s="17" t="str">
        <f t="shared" ref="AT4:AY4" si="2">AK2</f>
        <v/>
      </c>
      <c r="AU4" s="17" t="str">
        <f t="shared" si="2"/>
        <v/>
      </c>
      <c r="AV4" s="17" t="str">
        <f t="shared" si="2"/>
        <v/>
      </c>
      <c r="AW4" s="17" t="str">
        <f t="shared" si="2"/>
        <v/>
      </c>
      <c r="AX4" s="17" t="str">
        <f t="shared" si="2"/>
        <v/>
      </c>
      <c r="AY4" s="17" t="str">
        <f t="shared" si="2"/>
        <v/>
      </c>
      <c r="BB4" s="161"/>
      <c r="BC4" s="164"/>
      <c r="BD4" s="163"/>
      <c r="BX4"/>
    </row>
    <row r="5" spans="1:76" ht="14.55" customHeight="1">
      <c r="B5" s="53" t="s">
        <v>78</v>
      </c>
      <c r="X5" s="21"/>
      <c r="Z5" s="38" t="str">
        <f t="array" ref="Z5">IFERROR(INDEX(RBS4a[Unit],SMALL(IF(RBS4a[Unit]=$BD$3,ROW(RBS4a[])-MIN(ROW(RBS4a[]))+1),AH5)), "")</f>
        <v/>
      </c>
      <c r="AA5" s="39" t="e">
        <f t="array" ref="AA5">INDEX(RBS4a[Name],SMALL(IF(RBS4a[Unit]=$BD$3,ROW(RBS4a[])-MIN(ROW(RBS4a[]))+1),AH5))</f>
        <v>#NUM!</v>
      </c>
      <c r="AB5" s="40" t="str">
        <f t="array" ref="AB5">IFERROR(INDEX(RBS4a[Column1],SMALL(IF(RBS4a[Unit]=$BD$3,ROW(RBS4a[])-MIN(ROW(RBS4a[]))+1),AH5)), "")</f>
        <v/>
      </c>
      <c r="AC5" s="40" t="str">
        <f t="array" ref="AC5">IFERROR(INDEX(RBS4a[Column2],SMALL(IF(RBS4a[Unit]=$BD$3,ROW(RBS4a[])-MIN(ROW(RBS4a[]))+1),AH5)), "")</f>
        <v/>
      </c>
      <c r="AD5" s="40" t="str">
        <f t="array" ref="AD5">IFERROR(INDEX(RBS4a[Column3],SMALL(IF(RBS4a[Unit]=$BD$3,ROW(RBS4a[])-MIN(ROW(RBS4a[]))+1),AH5)), "")</f>
        <v/>
      </c>
      <c r="AE5" s="40" t="str">
        <f t="array" ref="AE5">IFERROR(INDEX(RBS4a[Column4],SMALL(IF(RBS4a[Unit]=$BD$3,ROW(RBS4a[])-MIN(ROW(RBS4a[]))+1),AH5)), "")</f>
        <v/>
      </c>
      <c r="AF5" s="40" t="str">
        <f t="array" ref="AF5">IFERROR(INDEX(RBS4a[Column5],SMALL(IF(RBS4a[Unit]=$BD$3,ROW(RBS4a[])-MIN(ROW(RBS4a[]))+1),AH5)), "")</f>
        <v/>
      </c>
      <c r="AG5" s="40" t="str">
        <f t="array" ref="AG5">IFERROR(INDEX(RBS4a[Column6],SMALL(IF(RBS4a[Unit]=$BD$3,ROW(RBS4a[])-MIN(ROW(RBS4a[]))+1),AH5)), "")</f>
        <v/>
      </c>
      <c r="AH5" s="41">
        <v>1</v>
      </c>
      <c r="AI5" s="42" t="str">
        <f t="array" ref="AI5">IFERROR(INDEX(RBS4b[Unit],SMALL(IF(RBS4b[Unit]=$BD$3,ROW(RBS4b[])-MIN(ROW(RBS4b[]))+1),AH5)), "")</f>
        <v/>
      </c>
      <c r="AJ5" s="42" t="str">
        <f t="array" ref="AJ5">IFERROR(INDEX(RBS4b[Name],SMALL(IF(RBS4b[Unit]=$BD$3,ROW(RBS4b[])-MIN(ROW(RBS4b[]))+1),AH5)), "")</f>
        <v/>
      </c>
      <c r="AK5" s="43" t="str">
        <f t="array" ref="AK5">IFERROR(INDEX(RBS4b[Column1],SMALL(IF(RBS4b[Unit]=$BD$3,ROW(RBS4b[])-MIN(ROW(RBS4b[]))+1),AH5)), "")</f>
        <v/>
      </c>
      <c r="AL5" s="43" t="str">
        <f t="array" ref="AL5">IFERROR(INDEX(RBS4b[Column2],SMALL(IF(RBS4b[Unit]=$BD$3,ROW(RBS4b[])-MIN(ROW(RBS4b[]))+1),AH5)), "")</f>
        <v/>
      </c>
      <c r="AM5" s="43" t="str">
        <f t="array" ref="AM5">IFERROR(INDEX(RBS4b[Column3],SMALL(IF(RBS4b[Unit]=$BD$3,ROW(RBS4b[])-MIN(ROW(RBS4b[]))+1),AH5)), "")</f>
        <v/>
      </c>
      <c r="AN5" s="43" t="str">
        <f t="array" ref="AN5">IFERROR(INDEX(RBS4b[Column4],SMALL(IF(RBS4b[Unit]=$BD$3,ROW(RBS4b[])-MIN(ROW(RBS4b[]))+1),AH5)), "")</f>
        <v/>
      </c>
      <c r="AO5" s="43" t="str">
        <f t="array" ref="AO5">IFERROR(INDEX(RBS4b[Column5],SMALL(IF(RBS4b[Unit]=$BD$3,ROW(RBS4b[])-MIN(ROW(RBS4b[]))+1),AH5)), "")</f>
        <v/>
      </c>
      <c r="AP5" s="43" t="str">
        <f t="array" ref="AP5">IFERROR(INDEX(RBS4b[Column6],SMALL(IF(RBS4b[Unit]=$BD$3,ROW(RBS4b[])-MIN(ROW(RBS4b[]))+1),AH5)), "")</f>
        <v/>
      </c>
      <c r="AS5" s="59"/>
      <c r="AT5" s="32">
        <f>Date_Control!$C$21</f>
        <v>2021</v>
      </c>
      <c r="AU5" s="32">
        <f>Date_Control!$C$20</f>
        <v>2022</v>
      </c>
      <c r="AV5" s="32">
        <f>Date_Control!$C$19</f>
        <v>2023</v>
      </c>
      <c r="AW5" s="32">
        <f>Date_Control!$C$18</f>
        <v>2024</v>
      </c>
      <c r="AX5" s="32">
        <f>Date_Control!$C$17</f>
        <v>2025</v>
      </c>
      <c r="AY5" s="32">
        <f>Date_Control!$C$16</f>
        <v>2026</v>
      </c>
      <c r="BX5"/>
    </row>
    <row r="6" spans="1:76" ht="14.55" customHeight="1">
      <c r="B6" s="53" t="s">
        <v>79</v>
      </c>
      <c r="X6" s="21"/>
      <c r="AR6" t="s">
        <v>33</v>
      </c>
      <c r="AS6" s="59" t="s">
        <v>16</v>
      </c>
      <c r="AT6" s="17" t="str">
        <f t="shared" ref="AT6:AY6" si="3">AB3</f>
        <v/>
      </c>
      <c r="AU6" s="17" t="str">
        <f t="shared" si="3"/>
        <v/>
      </c>
      <c r="AV6" s="17" t="str">
        <f t="shared" si="3"/>
        <v/>
      </c>
      <c r="AW6" s="17" t="str">
        <f t="shared" si="3"/>
        <v/>
      </c>
      <c r="AX6" s="17" t="str">
        <f t="shared" si="3"/>
        <v/>
      </c>
      <c r="AY6" s="17" t="str">
        <f t="shared" si="3"/>
        <v/>
      </c>
      <c r="BX6"/>
    </row>
    <row r="7" spans="1:76" ht="14.55" customHeight="1">
      <c r="B7" s="53" t="s">
        <v>80</v>
      </c>
      <c r="X7" s="21"/>
      <c r="AS7" s="59" t="s">
        <v>17</v>
      </c>
      <c r="AT7" s="17" t="str">
        <f t="shared" ref="AT7:AY7" si="4">AK3</f>
        <v/>
      </c>
      <c r="AU7" s="17" t="str">
        <f t="shared" si="4"/>
        <v/>
      </c>
      <c r="AV7" s="17" t="str">
        <f t="shared" si="4"/>
        <v/>
      </c>
      <c r="AW7" s="17" t="str">
        <f t="shared" si="4"/>
        <v/>
      </c>
      <c r="AX7" s="17" t="str">
        <f t="shared" si="4"/>
        <v/>
      </c>
      <c r="AY7" s="17" t="str">
        <f t="shared" si="4"/>
        <v/>
      </c>
      <c r="BX7"/>
    </row>
    <row r="8" spans="1:76" ht="14.55" customHeight="1">
      <c r="B8" s="53"/>
      <c r="X8" s="21"/>
      <c r="AS8" s="59"/>
      <c r="AT8" s="32">
        <f>Date_Control!$C$21</f>
        <v>2021</v>
      </c>
      <c r="AU8" s="32">
        <f>Date_Control!$C$20</f>
        <v>2022</v>
      </c>
      <c r="AV8" s="32">
        <f>Date_Control!$C$19</f>
        <v>2023</v>
      </c>
      <c r="AW8" s="32">
        <f>Date_Control!$C$18</f>
        <v>2024</v>
      </c>
      <c r="AX8" s="32">
        <f>Date_Control!$C$17</f>
        <v>2025</v>
      </c>
      <c r="AY8" s="32">
        <f>Date_Control!$C$16</f>
        <v>2026</v>
      </c>
      <c r="BX8"/>
    </row>
    <row r="9" spans="1:76" ht="14.55" customHeight="1">
      <c r="B9" s="53" t="s">
        <v>19</v>
      </c>
      <c r="X9" s="21"/>
      <c r="AR9" t="s">
        <v>34</v>
      </c>
      <c r="AS9" s="59" t="s">
        <v>16</v>
      </c>
      <c r="AT9" s="17" t="str">
        <f>AB4</f>
        <v/>
      </c>
      <c r="AU9" s="17" t="str">
        <f t="shared" ref="AU9:AY9" si="5">AC4</f>
        <v/>
      </c>
      <c r="AV9" s="17" t="str">
        <f t="shared" si="5"/>
        <v/>
      </c>
      <c r="AW9" s="17" t="str">
        <f t="shared" si="5"/>
        <v/>
      </c>
      <c r="AX9" s="17" t="str">
        <f t="shared" si="5"/>
        <v/>
      </c>
      <c r="AY9" s="17" t="str">
        <f t="shared" si="5"/>
        <v/>
      </c>
      <c r="BX9"/>
    </row>
    <row r="10" spans="1:76" ht="14.55" customHeight="1">
      <c r="X10" s="21"/>
      <c r="AS10" s="59" t="s">
        <v>17</v>
      </c>
      <c r="AT10" s="17" t="str">
        <f>AK4</f>
        <v/>
      </c>
      <c r="AU10" s="17" t="str">
        <f t="shared" ref="AU10:AY10" si="6">AL4</f>
        <v/>
      </c>
      <c r="AV10" s="17" t="str">
        <f t="shared" si="6"/>
        <v/>
      </c>
      <c r="AW10" s="17" t="str">
        <f t="shared" si="6"/>
        <v/>
      </c>
      <c r="AX10" s="17" t="str">
        <f t="shared" si="6"/>
        <v/>
      </c>
      <c r="AY10" s="17" t="str">
        <f t="shared" si="6"/>
        <v/>
      </c>
      <c r="BX10"/>
    </row>
    <row r="11" spans="1:76" ht="15.45" customHeight="1">
      <c r="B11" s="53" t="s">
        <v>23</v>
      </c>
      <c r="X11" s="21"/>
      <c r="AS11" s="59"/>
      <c r="AT11" s="32">
        <f>Date_Control!$C$21</f>
        <v>2021</v>
      </c>
      <c r="AU11" s="32">
        <f>Date_Control!$C$20</f>
        <v>2022</v>
      </c>
      <c r="AV11" s="32">
        <f>Date_Control!$C$19</f>
        <v>2023</v>
      </c>
      <c r="AW11" s="32">
        <f>Date_Control!$C$18</f>
        <v>2024</v>
      </c>
      <c r="AX11" s="32">
        <f>Date_Control!$C$17</f>
        <v>2025</v>
      </c>
      <c r="AY11" s="32">
        <f>Date_Control!$C$16</f>
        <v>2026</v>
      </c>
      <c r="BX11"/>
    </row>
    <row r="12" spans="1:76" ht="14.55" customHeight="1">
      <c r="X12" s="21"/>
      <c r="AR12" t="s">
        <v>35</v>
      </c>
      <c r="AS12" s="59" t="s">
        <v>16</v>
      </c>
      <c r="AT12" s="17" t="str">
        <f>AB5</f>
        <v/>
      </c>
      <c r="AU12" s="17" t="str">
        <f t="shared" ref="AU12:AY12" si="7">AC5</f>
        <v/>
      </c>
      <c r="AV12" s="17" t="str">
        <f t="shared" si="7"/>
        <v/>
      </c>
      <c r="AW12" s="17" t="str">
        <f t="shared" si="7"/>
        <v/>
      </c>
      <c r="AX12" s="17" t="str">
        <f t="shared" si="7"/>
        <v/>
      </c>
      <c r="AY12" s="17" t="str">
        <f t="shared" si="7"/>
        <v/>
      </c>
      <c r="BX12"/>
    </row>
    <row r="13" spans="1:76" ht="14.55" customHeight="1">
      <c r="X13" s="21"/>
      <c r="AS13" s="59" t="s">
        <v>17</v>
      </c>
      <c r="AT13" s="17" t="str">
        <f>AK5</f>
        <v/>
      </c>
      <c r="AU13" s="17" t="str">
        <f t="shared" ref="AU13:AY13" si="8">AL5</f>
        <v/>
      </c>
      <c r="AV13" s="17" t="str">
        <f t="shared" si="8"/>
        <v/>
      </c>
      <c r="AW13" s="17" t="str">
        <f t="shared" si="8"/>
        <v/>
      </c>
      <c r="AX13" s="17" t="str">
        <f t="shared" si="8"/>
        <v/>
      </c>
      <c r="AY13" s="17" t="str">
        <f t="shared" si="8"/>
        <v/>
      </c>
      <c r="BX13"/>
    </row>
    <row r="14" spans="1:76" ht="14.55" customHeight="1">
      <c r="B14" s="165" t="str">
        <f>IF(Main_Page!C10="Click here to select district", "SELECT DISTRICT ON MAIN PAGE", "")</f>
        <v>SELECT DISTRICT ON MAIN PAGE</v>
      </c>
      <c r="C14" s="166"/>
      <c r="X14" s="21"/>
      <c r="AR14"/>
      <c r="AS14" s="59"/>
      <c r="BX14"/>
    </row>
    <row r="15" spans="1:76" ht="14.55" customHeight="1">
      <c r="B15" s="167"/>
      <c r="C15" s="168"/>
      <c r="X15" s="21"/>
      <c r="Z15" s="161" t="s">
        <v>36</v>
      </c>
      <c r="AA15" s="159" t="s">
        <v>25</v>
      </c>
      <c r="AR15"/>
      <c r="BX15"/>
    </row>
    <row r="16" spans="1:76" ht="14.55" customHeight="1">
      <c r="X16" s="21"/>
      <c r="Z16" s="161"/>
      <c r="AA16" s="160"/>
      <c r="AR16"/>
      <c r="BX16"/>
    </row>
    <row r="17" spans="1:76" ht="14.55" customHeight="1">
      <c r="X17" s="21"/>
      <c r="Z17" s="58"/>
      <c r="AR17"/>
      <c r="BX17"/>
    </row>
    <row r="18" spans="1:76" ht="14.55" customHeight="1">
      <c r="X18" s="21"/>
      <c r="Z18" s="161" t="s">
        <v>38</v>
      </c>
      <c r="AA18" s="159" t="s">
        <v>48</v>
      </c>
      <c r="AD18" t="s">
        <v>31</v>
      </c>
      <c r="AR18"/>
      <c r="BX18"/>
    </row>
    <row r="19" spans="1:76" ht="14.55" customHeight="1">
      <c r="X19" s="21"/>
      <c r="Z19" s="161"/>
      <c r="AA19" s="160"/>
      <c r="AR19"/>
      <c r="BX19"/>
    </row>
    <row r="20" spans="1:76" ht="14.55" customHeight="1">
      <c r="X20" s="37"/>
      <c r="Z20" s="58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R20"/>
      <c r="AZ20" s="10"/>
      <c r="BA20" s="10"/>
      <c r="BV20" s="10"/>
      <c r="BX20"/>
    </row>
    <row r="21" spans="1:76" ht="14.55" customHeight="1">
      <c r="X21" s="21"/>
      <c r="Z21" s="161" t="s">
        <v>43</v>
      </c>
      <c r="AA21" s="159" t="s">
        <v>49</v>
      </c>
      <c r="AR21" s="30" t="s">
        <v>21</v>
      </c>
      <c r="AS21" s="30" t="s">
        <v>20</v>
      </c>
      <c r="AT21" s="30" t="s">
        <v>30</v>
      </c>
      <c r="AU21" s="30" t="s">
        <v>22</v>
      </c>
      <c r="AV21" s="30" t="s">
        <v>39</v>
      </c>
      <c r="AW21" s="30" t="s">
        <v>40</v>
      </c>
      <c r="AX21" s="30" t="s">
        <v>41</v>
      </c>
      <c r="AY21" s="30" t="s">
        <v>42</v>
      </c>
      <c r="BA21" s="12" t="s">
        <v>21</v>
      </c>
      <c r="BB21" s="12" t="s">
        <v>20</v>
      </c>
      <c r="BC21" s="12" t="s">
        <v>30</v>
      </c>
      <c r="BD21" s="12" t="s">
        <v>22</v>
      </c>
      <c r="BE21" s="12" t="s">
        <v>39</v>
      </c>
      <c r="BF21" s="12" t="s">
        <v>40</v>
      </c>
      <c r="BG21" s="12" t="s">
        <v>41</v>
      </c>
      <c r="BH21" s="12" t="s">
        <v>42</v>
      </c>
      <c r="BX21"/>
    </row>
    <row r="22" spans="1:76" ht="14.55" customHeight="1">
      <c r="B22" s="53"/>
      <c r="X22" s="21"/>
      <c r="Z22" s="161"/>
      <c r="AA22" s="160"/>
      <c r="AR22" s="30" t="s">
        <v>0</v>
      </c>
      <c r="AS22" s="30" t="s">
        <v>131</v>
      </c>
      <c r="AT22" s="57">
        <f>RBS_Data!D2</f>
        <v>2656</v>
      </c>
      <c r="AU22" s="57">
        <f>RBS_Data!E2</f>
        <v>3194</v>
      </c>
      <c r="AV22" s="57">
        <f>RBS_Data!F2</f>
        <v>2730</v>
      </c>
      <c r="AW22" s="57">
        <f>RBS_Data!G2</f>
        <v>2890</v>
      </c>
      <c r="AX22" s="57">
        <f>RBS_Data!H2</f>
        <v>2878</v>
      </c>
      <c r="AY22" s="57">
        <f>RBS_Data!I2</f>
        <v>1206</v>
      </c>
      <c r="BA22" s="15" t="s">
        <v>0</v>
      </c>
      <c r="BB22" s="15" t="s">
        <v>131</v>
      </c>
      <c r="BC22" s="36">
        <f>RBS_Data!M2</f>
        <v>1518</v>
      </c>
      <c r="BD22" s="36">
        <f>RBS_Data!N2</f>
        <v>1838</v>
      </c>
      <c r="BE22" s="36">
        <f>RBS_Data!O2</f>
        <v>1583</v>
      </c>
      <c r="BF22" s="36">
        <f>RBS_Data!P2</f>
        <v>1767</v>
      </c>
      <c r="BG22" s="36">
        <f>RBS_Data!Q2</f>
        <v>1698</v>
      </c>
      <c r="BH22" s="36">
        <f>RBS_Data!R2</f>
        <v>1206</v>
      </c>
      <c r="BX22"/>
    </row>
    <row r="23" spans="1:76" ht="14.55" customHeight="1">
      <c r="B23" s="53"/>
      <c r="X23" s="21"/>
      <c r="Z23" s="58"/>
      <c r="AR23" s="30" t="s">
        <v>1</v>
      </c>
      <c r="AS23" s="30" t="s">
        <v>130</v>
      </c>
      <c r="AT23" s="57">
        <f>RBS_Data!D3</f>
        <v>4208</v>
      </c>
      <c r="AU23" s="57">
        <f>RBS_Data!E3</f>
        <v>4510</v>
      </c>
      <c r="AV23" s="57">
        <f>RBS_Data!F3</f>
        <v>4851</v>
      </c>
      <c r="AW23" s="57">
        <f>RBS_Data!G3</f>
        <v>5145</v>
      </c>
      <c r="AX23" s="57">
        <f>RBS_Data!H3</f>
        <v>5770</v>
      </c>
      <c r="AY23" s="57">
        <f>RBS_Data!I3</f>
        <v>1908</v>
      </c>
      <c r="BA23" s="15" t="s">
        <v>1</v>
      </c>
      <c r="BB23" s="15" t="s">
        <v>130</v>
      </c>
      <c r="BC23" s="36">
        <f>RBS_Data!M3</f>
        <v>1896</v>
      </c>
      <c r="BD23" s="36">
        <f>RBS_Data!N3</f>
        <v>2346</v>
      </c>
      <c r="BE23" s="36">
        <f>RBS_Data!O3</f>
        <v>2797</v>
      </c>
      <c r="BF23" s="36">
        <f>RBS_Data!P3</f>
        <v>3136</v>
      </c>
      <c r="BG23" s="36">
        <f>RBS_Data!Q3</f>
        <v>3271</v>
      </c>
      <c r="BH23" s="36">
        <f>RBS_Data!R3</f>
        <v>1908</v>
      </c>
      <c r="BX23"/>
    </row>
    <row r="24" spans="1:76" ht="14.55" customHeight="1">
      <c r="B24" s="53"/>
      <c r="X24" s="21"/>
      <c r="Z24" s="161" t="s">
        <v>44</v>
      </c>
      <c r="AA24" s="159" t="s">
        <v>50</v>
      </c>
      <c r="AR24" s="30" t="s">
        <v>2</v>
      </c>
      <c r="AS24" s="30" t="s">
        <v>132</v>
      </c>
      <c r="AT24" s="57">
        <f>RBS_Data!D4</f>
        <v>4615</v>
      </c>
      <c r="AU24" s="57">
        <f>RBS_Data!E4</f>
        <v>4886</v>
      </c>
      <c r="AV24" s="57">
        <f>RBS_Data!F4</f>
        <v>5291</v>
      </c>
      <c r="AW24" s="57">
        <f>RBS_Data!G4</f>
        <v>4238</v>
      </c>
      <c r="AX24" s="57">
        <f>RBS_Data!H4</f>
        <v>4312</v>
      </c>
      <c r="AY24" s="57">
        <f>RBS_Data!I4</f>
        <v>2219</v>
      </c>
      <c r="BA24" s="15" t="s">
        <v>2</v>
      </c>
      <c r="BB24" s="15" t="s">
        <v>132</v>
      </c>
      <c r="BC24" s="36">
        <f>RBS_Data!M4</f>
        <v>2505</v>
      </c>
      <c r="BD24" s="36">
        <f>RBS_Data!N4</f>
        <v>2868</v>
      </c>
      <c r="BE24" s="36">
        <f>RBS_Data!O4</f>
        <v>3245</v>
      </c>
      <c r="BF24" s="36">
        <f>RBS_Data!P4</f>
        <v>2620</v>
      </c>
      <c r="BG24" s="36">
        <f>RBS_Data!Q4</f>
        <v>2663</v>
      </c>
      <c r="BH24" s="36">
        <f>RBS_Data!R4</f>
        <v>2219</v>
      </c>
      <c r="BX24"/>
    </row>
    <row r="25" spans="1:76" ht="14.55" customHeight="1">
      <c r="B25" s="53"/>
      <c r="X25" s="21"/>
      <c r="Z25" s="161"/>
      <c r="AA25" s="160"/>
      <c r="AR25" s="30" t="s">
        <v>3</v>
      </c>
      <c r="AS25" s="30" t="s">
        <v>133</v>
      </c>
      <c r="AT25" s="57">
        <f>RBS_Data!D5</f>
        <v>5211</v>
      </c>
      <c r="AU25" s="57">
        <f>RBS_Data!E5</f>
        <v>5136</v>
      </c>
      <c r="AV25" s="57">
        <f>RBS_Data!F5</f>
        <v>5059</v>
      </c>
      <c r="AW25" s="57">
        <f>RBS_Data!G5</f>
        <v>4910</v>
      </c>
      <c r="AX25" s="57">
        <f>RBS_Data!H5</f>
        <v>4410</v>
      </c>
      <c r="AY25" s="57">
        <f>RBS_Data!I5</f>
        <v>2295</v>
      </c>
      <c r="BA25" s="15" t="s">
        <v>3</v>
      </c>
      <c r="BB25" s="15" t="s">
        <v>133</v>
      </c>
      <c r="BC25" s="36">
        <f>RBS_Data!M5</f>
        <v>3343</v>
      </c>
      <c r="BD25" s="36">
        <f>RBS_Data!N5</f>
        <v>3578</v>
      </c>
      <c r="BE25" s="36">
        <f>RBS_Data!O5</f>
        <v>3208</v>
      </c>
      <c r="BF25" s="36">
        <f>RBS_Data!P5</f>
        <v>3490</v>
      </c>
      <c r="BG25" s="36">
        <f>RBS_Data!Q5</f>
        <v>2935</v>
      </c>
      <c r="BH25" s="36">
        <f>RBS_Data!R5</f>
        <v>2295</v>
      </c>
      <c r="BX25"/>
    </row>
    <row r="26" spans="1:76" ht="14.55" customHeight="1">
      <c r="X26" s="21"/>
      <c r="AR26" s="30" t="s">
        <v>4</v>
      </c>
      <c r="AS26" s="30" t="s">
        <v>134</v>
      </c>
      <c r="AT26" s="57">
        <f>RBS_Data!D6</f>
        <v>10036</v>
      </c>
      <c r="AU26" s="57">
        <f>RBS_Data!E6</f>
        <v>11502</v>
      </c>
      <c r="AV26" s="57">
        <f>RBS_Data!F6</f>
        <v>12886</v>
      </c>
      <c r="AW26" s="57">
        <f>RBS_Data!G6</f>
        <v>12346</v>
      </c>
      <c r="AX26" s="57">
        <f>RBS_Data!H6</f>
        <v>11894</v>
      </c>
      <c r="AY26" s="57">
        <f>RBS_Data!I6</f>
        <v>7862</v>
      </c>
      <c r="BA26" s="15" t="s">
        <v>4</v>
      </c>
      <c r="BB26" s="15" t="s">
        <v>134</v>
      </c>
      <c r="BC26" s="36">
        <f>RBS_Data!M6</f>
        <v>7000</v>
      </c>
      <c r="BD26" s="36">
        <f>RBS_Data!N6</f>
        <v>8512</v>
      </c>
      <c r="BE26" s="36">
        <f>RBS_Data!O6</f>
        <v>9407</v>
      </c>
      <c r="BF26" s="36">
        <f>RBS_Data!P6</f>
        <v>9591</v>
      </c>
      <c r="BG26" s="36">
        <f>RBS_Data!Q6</f>
        <v>9182</v>
      </c>
      <c r="BH26" s="36">
        <f>RBS_Data!R6</f>
        <v>7862</v>
      </c>
      <c r="BX26"/>
    </row>
    <row r="27" spans="1:76" s="10" customFormat="1" ht="19.2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21"/>
      <c r="Y27" s="4"/>
      <c r="Z27"/>
      <c r="AA27"/>
      <c r="AK27"/>
      <c r="AL27"/>
      <c r="AM27"/>
      <c r="AN27"/>
      <c r="AO27"/>
      <c r="AP27"/>
      <c r="AQ27" s="4"/>
      <c r="AR27" s="30" t="s">
        <v>5</v>
      </c>
      <c r="AS27" s="30" t="s">
        <v>135</v>
      </c>
      <c r="AT27" s="57">
        <f>RBS_Data!D7</f>
        <v>3028</v>
      </c>
      <c r="AU27" s="57">
        <f>RBS_Data!E7</f>
        <v>2703</v>
      </c>
      <c r="AV27" s="57">
        <f>RBS_Data!F7</f>
        <v>2747</v>
      </c>
      <c r="AW27" s="57">
        <f>RBS_Data!G7</f>
        <v>2986</v>
      </c>
      <c r="AX27" s="57">
        <f>RBS_Data!H7</f>
        <v>3114</v>
      </c>
      <c r="AY27" s="57">
        <f>RBS_Data!I7</f>
        <v>1746</v>
      </c>
      <c r="AZ27"/>
      <c r="BA27" s="15" t="s">
        <v>5</v>
      </c>
      <c r="BB27" s="15" t="s">
        <v>135</v>
      </c>
      <c r="BC27" s="36">
        <f>RBS_Data!M7</f>
        <v>1991</v>
      </c>
      <c r="BD27" s="36">
        <f>RBS_Data!N7</f>
        <v>1805</v>
      </c>
      <c r="BE27" s="36">
        <f>RBS_Data!O7</f>
        <v>1848</v>
      </c>
      <c r="BF27" s="36">
        <f>RBS_Data!P7</f>
        <v>1997</v>
      </c>
      <c r="BG27" s="36">
        <f>RBS_Data!Q7</f>
        <v>2289</v>
      </c>
      <c r="BH27" s="36">
        <f>RBS_Data!R7</f>
        <v>1746</v>
      </c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X27"/>
    </row>
    <row r="28" spans="1:76" ht="14.55" customHeight="1">
      <c r="X28" s="21"/>
      <c r="AR28" s="30" t="s">
        <v>6</v>
      </c>
      <c r="AS28" s="30" t="s">
        <v>136</v>
      </c>
      <c r="AT28" s="57">
        <f>RBS_Data!D8</f>
        <v>2597</v>
      </c>
      <c r="AU28" s="57">
        <f>RBS_Data!E8</f>
        <v>2338</v>
      </c>
      <c r="AV28" s="57">
        <f>RBS_Data!F8</f>
        <v>2705</v>
      </c>
      <c r="AW28" s="57">
        <f>RBS_Data!G8</f>
        <v>2833</v>
      </c>
      <c r="AX28" s="57">
        <f>RBS_Data!H8</f>
        <v>2249</v>
      </c>
      <c r="AY28" s="57">
        <f>RBS_Data!I8</f>
        <v>934</v>
      </c>
      <c r="BA28" s="15" t="s">
        <v>6</v>
      </c>
      <c r="BB28" s="15" t="s">
        <v>136</v>
      </c>
      <c r="BC28" s="36">
        <f>RBS_Data!M8</f>
        <v>1418</v>
      </c>
      <c r="BD28" s="36">
        <f>RBS_Data!N8</f>
        <v>1205</v>
      </c>
      <c r="BE28" s="36">
        <f>RBS_Data!O8</f>
        <v>1484</v>
      </c>
      <c r="BF28" s="36">
        <f>RBS_Data!P8</f>
        <v>1691</v>
      </c>
      <c r="BG28" s="36">
        <f>RBS_Data!Q8</f>
        <v>1349</v>
      </c>
      <c r="BH28" s="36">
        <f>RBS_Data!R8</f>
        <v>934</v>
      </c>
      <c r="BX28"/>
    </row>
    <row r="29" spans="1:76" ht="14.55" customHeight="1">
      <c r="X29" s="21"/>
      <c r="AR29" s="30" t="s">
        <v>7</v>
      </c>
      <c r="AS29" s="30" t="s">
        <v>137</v>
      </c>
      <c r="AT29" s="57">
        <f>RBS_Data!D9</f>
        <v>1497</v>
      </c>
      <c r="AU29" s="57">
        <f>RBS_Data!E9</f>
        <v>1992</v>
      </c>
      <c r="AV29" s="57">
        <f>RBS_Data!F9</f>
        <v>1682</v>
      </c>
      <c r="AW29" s="57">
        <f>RBS_Data!G9</f>
        <v>1562</v>
      </c>
      <c r="AX29" s="57">
        <f>RBS_Data!H9</f>
        <v>1441</v>
      </c>
      <c r="AY29" s="57">
        <f>RBS_Data!I9</f>
        <v>487</v>
      </c>
      <c r="BA29" s="15" t="s">
        <v>7</v>
      </c>
      <c r="BB29" s="15" t="s">
        <v>137</v>
      </c>
      <c r="BC29" s="36">
        <f>RBS_Data!M9</f>
        <v>875</v>
      </c>
      <c r="BD29" s="36">
        <f>RBS_Data!N9</f>
        <v>973</v>
      </c>
      <c r="BE29" s="36">
        <f>RBS_Data!O9</f>
        <v>1178</v>
      </c>
      <c r="BF29" s="36">
        <f>RBS_Data!P9</f>
        <v>940</v>
      </c>
      <c r="BG29" s="36">
        <f>RBS_Data!Q9</f>
        <v>940</v>
      </c>
      <c r="BH29" s="36">
        <f>RBS_Data!R9</f>
        <v>487</v>
      </c>
      <c r="BX29"/>
    </row>
    <row r="30" spans="1:76" ht="14.55" customHeight="1">
      <c r="X30" s="21"/>
      <c r="Y30" s="6"/>
      <c r="AQ30" s="6"/>
      <c r="AR30" s="30" t="s">
        <v>8</v>
      </c>
      <c r="AS30" s="30" t="s">
        <v>138</v>
      </c>
      <c r="AT30" s="57">
        <f>RBS_Data!D10</f>
        <v>2182</v>
      </c>
      <c r="AU30" s="57">
        <f>RBS_Data!E10</f>
        <v>2552</v>
      </c>
      <c r="AV30" s="57">
        <f>RBS_Data!F10</f>
        <v>1914</v>
      </c>
      <c r="AW30" s="57">
        <f>RBS_Data!G10</f>
        <v>2237</v>
      </c>
      <c r="AX30" s="57">
        <f>RBS_Data!H10</f>
        <v>2241</v>
      </c>
      <c r="AY30" s="57">
        <f>RBS_Data!I10</f>
        <v>1286</v>
      </c>
      <c r="BA30" s="15" t="s">
        <v>8</v>
      </c>
      <c r="BB30" s="15" t="s">
        <v>138</v>
      </c>
      <c r="BC30" s="36">
        <f>RBS_Data!M10</f>
        <v>1216</v>
      </c>
      <c r="BD30" s="36">
        <f>RBS_Data!N10</f>
        <v>1784</v>
      </c>
      <c r="BE30" s="36">
        <f>RBS_Data!O10</f>
        <v>1277</v>
      </c>
      <c r="BF30" s="36">
        <f>RBS_Data!P10</f>
        <v>1412</v>
      </c>
      <c r="BG30" s="36">
        <f>RBS_Data!Q10</f>
        <v>1583</v>
      </c>
      <c r="BH30" s="36">
        <f>RBS_Data!R10</f>
        <v>1286</v>
      </c>
      <c r="BX30"/>
    </row>
    <row r="31" spans="1:76" ht="14.55" customHeight="1">
      <c r="X31" s="21"/>
      <c r="AR31" s="30" t="s">
        <v>9</v>
      </c>
      <c r="AS31" s="30" t="s">
        <v>139</v>
      </c>
      <c r="AT31" s="57">
        <f>RBS_Data!D11</f>
        <v>1192</v>
      </c>
      <c r="AU31" s="57">
        <f>RBS_Data!E11</f>
        <v>1358</v>
      </c>
      <c r="AV31" s="57">
        <f>RBS_Data!F11</f>
        <v>1443</v>
      </c>
      <c r="AW31" s="57">
        <f>RBS_Data!G11</f>
        <v>1383</v>
      </c>
      <c r="AX31" s="57">
        <f>RBS_Data!H11</f>
        <v>1291</v>
      </c>
      <c r="AY31" s="57">
        <f>RBS_Data!I11</f>
        <v>641</v>
      </c>
      <c r="BA31" s="15" t="s">
        <v>9</v>
      </c>
      <c r="BB31" s="15" t="s">
        <v>139</v>
      </c>
      <c r="BC31" s="36">
        <f>RBS_Data!M11</f>
        <v>538</v>
      </c>
      <c r="BD31" s="36">
        <f>RBS_Data!N11</f>
        <v>681</v>
      </c>
      <c r="BE31" s="36">
        <f>RBS_Data!O11</f>
        <v>1012</v>
      </c>
      <c r="BF31" s="36">
        <f>RBS_Data!P11</f>
        <v>978</v>
      </c>
      <c r="BG31" s="36">
        <f>RBS_Data!Q11</f>
        <v>829</v>
      </c>
      <c r="BH31" s="36">
        <f>RBS_Data!R11</f>
        <v>641</v>
      </c>
      <c r="BX31"/>
    </row>
    <row r="32" spans="1:76" ht="14.55" customHeight="1">
      <c r="X32" s="21"/>
      <c r="Y32" s="7"/>
      <c r="AQ32" s="7"/>
      <c r="AR32" s="30" t="s">
        <v>10</v>
      </c>
      <c r="AS32" s="30" t="s">
        <v>140</v>
      </c>
      <c r="AT32" s="57">
        <f>RBS_Data!D12</f>
        <v>2466</v>
      </c>
      <c r="AU32" s="57">
        <f>RBS_Data!E12</f>
        <v>2448</v>
      </c>
      <c r="AV32" s="57">
        <f>RBS_Data!F12</f>
        <v>2948</v>
      </c>
      <c r="AW32" s="57">
        <f>RBS_Data!G12</f>
        <v>3034</v>
      </c>
      <c r="AX32" s="57">
        <f>RBS_Data!H12</f>
        <v>2555</v>
      </c>
      <c r="AY32" s="57">
        <f>RBS_Data!I12</f>
        <v>1586</v>
      </c>
      <c r="BA32" s="15" t="s">
        <v>10</v>
      </c>
      <c r="BB32" s="15" t="s">
        <v>140</v>
      </c>
      <c r="BC32" s="36">
        <f>RBS_Data!M12</f>
        <v>1503</v>
      </c>
      <c r="BD32" s="36">
        <f>RBS_Data!N12</f>
        <v>1674</v>
      </c>
      <c r="BE32" s="36">
        <f>RBS_Data!O12</f>
        <v>2285</v>
      </c>
      <c r="BF32" s="36">
        <f>RBS_Data!P12</f>
        <v>2120</v>
      </c>
      <c r="BG32" s="36">
        <f>RBS_Data!Q12</f>
        <v>1878</v>
      </c>
      <c r="BH32" s="36">
        <f>RBS_Data!R12</f>
        <v>1586</v>
      </c>
      <c r="BX32"/>
    </row>
    <row r="33" spans="24:76" ht="14.55" customHeight="1">
      <c r="X33" s="21"/>
      <c r="AR33" s="30" t="s">
        <v>11</v>
      </c>
      <c r="AS33" s="30" t="s">
        <v>141</v>
      </c>
      <c r="AT33" s="57">
        <f>RBS_Data!D13</f>
        <v>1085</v>
      </c>
      <c r="AU33" s="57">
        <f>RBS_Data!E13</f>
        <v>1823</v>
      </c>
      <c r="AV33" s="57">
        <f>RBS_Data!F13</f>
        <v>1728</v>
      </c>
      <c r="AW33" s="57">
        <f>RBS_Data!G13</f>
        <v>2140</v>
      </c>
      <c r="AX33" s="57">
        <f>RBS_Data!H13</f>
        <v>2255</v>
      </c>
      <c r="AY33" s="57">
        <f>RBS_Data!I13</f>
        <v>686</v>
      </c>
      <c r="BA33" s="15" t="s">
        <v>11</v>
      </c>
      <c r="BB33" s="15" t="s">
        <v>141</v>
      </c>
      <c r="BC33" s="36">
        <f>RBS_Data!M13</f>
        <v>740</v>
      </c>
      <c r="BD33" s="36">
        <f>RBS_Data!N13</f>
        <v>1155</v>
      </c>
      <c r="BE33" s="36">
        <f>RBS_Data!O13</f>
        <v>1201</v>
      </c>
      <c r="BF33" s="36">
        <f>RBS_Data!P13</f>
        <v>1315</v>
      </c>
      <c r="BG33" s="36">
        <f>RBS_Data!Q13</f>
        <v>1613</v>
      </c>
      <c r="BH33" s="36">
        <f>RBS_Data!R13</f>
        <v>686</v>
      </c>
      <c r="BX33"/>
    </row>
    <row r="34" spans="24:76" ht="14.55" customHeight="1">
      <c r="X34" s="21"/>
      <c r="AR34" s="30" t="s">
        <v>12</v>
      </c>
      <c r="AS34" s="30" t="s">
        <v>142</v>
      </c>
      <c r="AT34" s="57">
        <f>RBS_Data!D14</f>
        <v>2121</v>
      </c>
      <c r="AU34" s="57">
        <f>RBS_Data!E14</f>
        <v>1811</v>
      </c>
      <c r="AV34" s="57">
        <f>RBS_Data!F14</f>
        <v>2631</v>
      </c>
      <c r="AW34" s="57">
        <f>RBS_Data!G14</f>
        <v>2861</v>
      </c>
      <c r="AX34" s="57">
        <f>RBS_Data!H14</f>
        <v>3160</v>
      </c>
      <c r="AY34" s="57">
        <f>RBS_Data!I14</f>
        <v>1562</v>
      </c>
      <c r="BA34" s="15" t="s">
        <v>12</v>
      </c>
      <c r="BB34" s="15" t="s">
        <v>142</v>
      </c>
      <c r="BC34" s="36">
        <f>RBS_Data!M14</f>
        <v>975</v>
      </c>
      <c r="BD34" s="36">
        <f>RBS_Data!N14</f>
        <v>1027</v>
      </c>
      <c r="BE34" s="36">
        <f>RBS_Data!O14</f>
        <v>1598</v>
      </c>
      <c r="BF34" s="36">
        <f>RBS_Data!P14</f>
        <v>1876</v>
      </c>
      <c r="BG34" s="36">
        <f>RBS_Data!Q14</f>
        <v>2018</v>
      </c>
      <c r="BH34" s="36">
        <f>RBS_Data!R14</f>
        <v>1562</v>
      </c>
      <c r="BX34"/>
    </row>
    <row r="35" spans="24:76" ht="14.55" customHeight="1">
      <c r="X35" s="21"/>
      <c r="AR35" s="30" t="s">
        <v>13</v>
      </c>
      <c r="AS35" s="30" t="s">
        <v>143</v>
      </c>
      <c r="AT35" s="57">
        <f>RBS_Data!D15</f>
        <v>2171</v>
      </c>
      <c r="AU35" s="57">
        <f>RBS_Data!E15</f>
        <v>2332</v>
      </c>
      <c r="AV35" s="57">
        <f>RBS_Data!F15</f>
        <v>2794</v>
      </c>
      <c r="AW35" s="57">
        <f>RBS_Data!G15</f>
        <v>2661</v>
      </c>
      <c r="AX35" s="57">
        <f>RBS_Data!H15</f>
        <v>2440</v>
      </c>
      <c r="AY35" s="57">
        <f>RBS_Data!I15</f>
        <v>1177</v>
      </c>
      <c r="BA35" s="15" t="s">
        <v>13</v>
      </c>
      <c r="BB35" s="15" t="s">
        <v>143</v>
      </c>
      <c r="BC35" s="36">
        <f>RBS_Data!M15</f>
        <v>1265</v>
      </c>
      <c r="BD35" s="36">
        <f>RBS_Data!N15</f>
        <v>1317</v>
      </c>
      <c r="BE35" s="36">
        <f>RBS_Data!O15</f>
        <v>1909</v>
      </c>
      <c r="BF35" s="36">
        <f>RBS_Data!P15</f>
        <v>1709</v>
      </c>
      <c r="BG35" s="36">
        <f>RBS_Data!Q15</f>
        <v>1687</v>
      </c>
      <c r="BH35" s="36">
        <f>RBS_Data!R15</f>
        <v>1177</v>
      </c>
      <c r="BX35"/>
    </row>
    <row r="36" spans="24:76" ht="14.55" customHeight="1">
      <c r="X36" s="21"/>
      <c r="AR36" s="30" t="s">
        <v>14</v>
      </c>
      <c r="AS36" s="30" t="s">
        <v>144</v>
      </c>
      <c r="AT36" s="57">
        <f>RBS_Data!D16</f>
        <v>263</v>
      </c>
      <c r="AU36" s="57">
        <f>RBS_Data!E16</f>
        <v>436</v>
      </c>
      <c r="AV36" s="57">
        <f>RBS_Data!F16</f>
        <v>530</v>
      </c>
      <c r="AW36" s="57">
        <f>RBS_Data!G16</f>
        <v>549</v>
      </c>
      <c r="AX36" s="57">
        <f>RBS_Data!H16</f>
        <v>533</v>
      </c>
      <c r="AY36" s="57">
        <f>RBS_Data!I16</f>
        <v>173</v>
      </c>
      <c r="BA36" s="15" t="s">
        <v>14</v>
      </c>
      <c r="BB36" s="15" t="s">
        <v>144</v>
      </c>
      <c r="BC36" s="36">
        <f>RBS_Data!M16</f>
        <v>87</v>
      </c>
      <c r="BD36" s="36">
        <f>RBS_Data!N16</f>
        <v>263</v>
      </c>
      <c r="BE36" s="36">
        <f>RBS_Data!O16</f>
        <v>319</v>
      </c>
      <c r="BF36" s="36">
        <f>RBS_Data!P16</f>
        <v>388</v>
      </c>
      <c r="BG36" s="36">
        <f>RBS_Data!Q16</f>
        <v>366</v>
      </c>
      <c r="BH36" s="36">
        <f>RBS_Data!R16</f>
        <v>173</v>
      </c>
      <c r="BX36"/>
    </row>
    <row r="37" spans="24:76" ht="14.55" customHeight="1">
      <c r="X37" s="21"/>
      <c r="AR37" s="30" t="s">
        <v>15</v>
      </c>
      <c r="AS37" s="30" t="s">
        <v>145</v>
      </c>
      <c r="AT37" s="57">
        <f>RBS_Data!D17</f>
        <v>355</v>
      </c>
      <c r="AU37" s="57">
        <f>RBS_Data!E17</f>
        <v>294</v>
      </c>
      <c r="AV37" s="57">
        <f>RBS_Data!F17</f>
        <v>267</v>
      </c>
      <c r="AW37" s="57">
        <f>RBS_Data!G17</f>
        <v>248</v>
      </c>
      <c r="AX37" s="57">
        <f>RBS_Data!H17</f>
        <v>245</v>
      </c>
      <c r="AY37" s="57">
        <f>RBS_Data!I17</f>
        <v>73</v>
      </c>
      <c r="BA37" s="15" t="s">
        <v>15</v>
      </c>
      <c r="BB37" s="15" t="s">
        <v>145</v>
      </c>
      <c r="BC37" s="36">
        <f>RBS_Data!M17</f>
        <v>215</v>
      </c>
      <c r="BD37" s="36">
        <f>RBS_Data!N17</f>
        <v>197</v>
      </c>
      <c r="BE37" s="36">
        <f>RBS_Data!O17</f>
        <v>154</v>
      </c>
      <c r="BF37" s="36">
        <f>RBS_Data!P17</f>
        <v>168</v>
      </c>
      <c r="BG37" s="36">
        <f>RBS_Data!Q17</f>
        <v>142</v>
      </c>
      <c r="BH37" s="36">
        <f>RBS_Data!R17</f>
        <v>73</v>
      </c>
      <c r="BX37"/>
    </row>
    <row r="38" spans="24:76" ht="14.55" customHeight="1">
      <c r="X38" s="21"/>
      <c r="AR38" s="30" t="s">
        <v>27</v>
      </c>
      <c r="AS38" s="30" t="s">
        <v>29</v>
      </c>
      <c r="AT38" s="57">
        <f>RBS_Data!D18</f>
        <v>45683</v>
      </c>
      <c r="AU38" s="57">
        <f>RBS_Data!E18</f>
        <v>49315</v>
      </c>
      <c r="AV38" s="57">
        <f>RBS_Data!F18</f>
        <v>52206</v>
      </c>
      <c r="AW38" s="57">
        <f>RBS_Data!G18</f>
        <v>52023</v>
      </c>
      <c r="AX38" s="57">
        <f>RBS_Data!H18</f>
        <v>50788</v>
      </c>
      <c r="AY38" s="57">
        <f>RBS_Data!I18</f>
        <v>25841</v>
      </c>
      <c r="BA38" s="15" t="s">
        <v>27</v>
      </c>
      <c r="BB38" s="14" t="s">
        <v>29</v>
      </c>
      <c r="BC38" s="36">
        <f>RBS_Data!M18</f>
        <v>27085</v>
      </c>
      <c r="BD38" s="36">
        <f>RBS_Data!N18</f>
        <v>31223</v>
      </c>
      <c r="BE38" s="36">
        <f>RBS_Data!O18</f>
        <v>34505</v>
      </c>
      <c r="BF38" s="36">
        <f>RBS_Data!P18</f>
        <v>35198</v>
      </c>
      <c r="BG38" s="36">
        <f>RBS_Data!Q18</f>
        <v>34443</v>
      </c>
      <c r="BH38" s="36">
        <f>RBS_Data!R18</f>
        <v>25841</v>
      </c>
      <c r="BX38"/>
    </row>
    <row r="39" spans="24:76" ht="14.55" customHeight="1">
      <c r="X39" s="21"/>
      <c r="AR39"/>
      <c r="BX39"/>
    </row>
    <row r="40" spans="24:76" ht="14.55" customHeight="1">
      <c r="X40" s="21"/>
      <c r="AR40"/>
      <c r="BX40"/>
    </row>
    <row r="41" spans="24:76" ht="14.55" customHeight="1">
      <c r="X41" s="21"/>
      <c r="AR41" s="30" t="s">
        <v>21</v>
      </c>
      <c r="AS41" s="30" t="s">
        <v>20</v>
      </c>
      <c r="AT41" s="30" t="s">
        <v>30</v>
      </c>
      <c r="AU41" s="30" t="s">
        <v>22</v>
      </c>
      <c r="AV41" s="30" t="s">
        <v>39</v>
      </c>
      <c r="AW41" s="30" t="s">
        <v>40</v>
      </c>
      <c r="AX41" s="30" t="s">
        <v>41</v>
      </c>
      <c r="AY41" s="30" t="s">
        <v>42</v>
      </c>
      <c r="AZ41" s="17"/>
      <c r="BA41" s="12" t="s">
        <v>21</v>
      </c>
      <c r="BB41" s="12" t="s">
        <v>20</v>
      </c>
      <c r="BC41" s="12" t="s">
        <v>30</v>
      </c>
      <c r="BD41" s="12" t="s">
        <v>22</v>
      </c>
      <c r="BE41" s="12" t="s">
        <v>39</v>
      </c>
      <c r="BF41" s="12" t="s">
        <v>40</v>
      </c>
      <c r="BG41" s="12" t="s">
        <v>41</v>
      </c>
      <c r="BH41" s="12" t="s">
        <v>42</v>
      </c>
      <c r="BX41"/>
    </row>
    <row r="42" spans="24:76" ht="14.55" customHeight="1">
      <c r="X42" s="37"/>
      <c r="AR42" s="30" t="s">
        <v>0</v>
      </c>
      <c r="AS42" s="30" t="s">
        <v>131</v>
      </c>
      <c r="AT42" s="57">
        <f>RBS_Data!D22</f>
        <v>469</v>
      </c>
      <c r="AU42" s="57">
        <f>RBS_Data!E22</f>
        <v>744</v>
      </c>
      <c r="AV42" s="57">
        <f>RBS_Data!F22</f>
        <v>810</v>
      </c>
      <c r="AW42" s="57">
        <f>RBS_Data!G22</f>
        <v>837</v>
      </c>
      <c r="AX42" s="57">
        <f>RBS_Data!H22</f>
        <v>884</v>
      </c>
      <c r="AY42" s="57">
        <f>RBS_Data!I22</f>
        <v>295</v>
      </c>
      <c r="BA42" s="15" t="s">
        <v>0</v>
      </c>
      <c r="BB42" s="15" t="s">
        <v>131</v>
      </c>
      <c r="BC42" s="36">
        <f>RBS_Data!M22</f>
        <v>232</v>
      </c>
      <c r="BD42" s="36">
        <f>RBS_Data!N22</f>
        <v>447</v>
      </c>
      <c r="BE42" s="36">
        <f>RBS_Data!O22</f>
        <v>319</v>
      </c>
      <c r="BF42" s="36">
        <f>RBS_Data!P22</f>
        <v>427</v>
      </c>
      <c r="BG42" s="36">
        <f>RBS_Data!Q22</f>
        <v>299</v>
      </c>
      <c r="BH42" s="36">
        <f>RBS_Data!R22</f>
        <v>295</v>
      </c>
      <c r="BV42" s="10"/>
      <c r="BX42"/>
    </row>
    <row r="43" spans="24:76" ht="14.55" customHeight="1">
      <c r="X43" s="21"/>
      <c r="AR43" s="30" t="s">
        <v>1</v>
      </c>
      <c r="AS43" s="30" t="s">
        <v>130</v>
      </c>
      <c r="AT43" s="57">
        <f>RBS_Data!D23</f>
        <v>3751</v>
      </c>
      <c r="AU43" s="57">
        <f>RBS_Data!E23</f>
        <v>4102</v>
      </c>
      <c r="AV43" s="57">
        <f>RBS_Data!F23</f>
        <v>4795</v>
      </c>
      <c r="AW43" s="57">
        <f>RBS_Data!G23</f>
        <v>4443</v>
      </c>
      <c r="AX43" s="57">
        <f>RBS_Data!H23</f>
        <v>4438</v>
      </c>
      <c r="AY43" s="57">
        <f>RBS_Data!I23</f>
        <v>1208</v>
      </c>
      <c r="BA43" s="15" t="s">
        <v>1</v>
      </c>
      <c r="BB43" s="15" t="s">
        <v>130</v>
      </c>
      <c r="BC43" s="36">
        <f>RBS_Data!M23</f>
        <v>1015</v>
      </c>
      <c r="BD43" s="36">
        <f>RBS_Data!N23</f>
        <v>2000</v>
      </c>
      <c r="BE43" s="36">
        <f>RBS_Data!O23</f>
        <v>2794</v>
      </c>
      <c r="BF43" s="36">
        <f>RBS_Data!P23</f>
        <v>2476</v>
      </c>
      <c r="BG43" s="36">
        <f>RBS_Data!Q23</f>
        <v>2268</v>
      </c>
      <c r="BH43" s="36">
        <f>RBS_Data!R23</f>
        <v>1208</v>
      </c>
      <c r="BX43"/>
    </row>
    <row r="44" spans="24:76" ht="14.55" customHeight="1">
      <c r="X44" s="21"/>
      <c r="AR44" s="30" t="s">
        <v>2</v>
      </c>
      <c r="AS44" s="30" t="s">
        <v>132</v>
      </c>
      <c r="AT44" s="57">
        <f>RBS_Data!D24</f>
        <v>328</v>
      </c>
      <c r="AU44" s="57">
        <f>RBS_Data!E24</f>
        <v>843</v>
      </c>
      <c r="AV44" s="57">
        <f>RBS_Data!F24</f>
        <v>858</v>
      </c>
      <c r="AW44" s="57">
        <f>RBS_Data!G24</f>
        <v>1051</v>
      </c>
      <c r="AX44" s="57">
        <f>RBS_Data!H24</f>
        <v>1182</v>
      </c>
      <c r="AY44" s="57">
        <f>RBS_Data!I24</f>
        <v>399</v>
      </c>
      <c r="BA44" s="15" t="s">
        <v>2</v>
      </c>
      <c r="BB44" s="15" t="s">
        <v>132</v>
      </c>
      <c r="BC44" s="36">
        <f>RBS_Data!M24</f>
        <v>194</v>
      </c>
      <c r="BD44" s="36">
        <f>RBS_Data!N24</f>
        <v>512</v>
      </c>
      <c r="BE44" s="36">
        <f>RBS_Data!O24</f>
        <v>487</v>
      </c>
      <c r="BF44" s="36">
        <f>RBS_Data!P24</f>
        <v>546</v>
      </c>
      <c r="BG44" s="36">
        <f>RBS_Data!Q24</f>
        <v>824</v>
      </c>
      <c r="BH44" s="36">
        <f>RBS_Data!R24</f>
        <v>399</v>
      </c>
      <c r="BX44"/>
    </row>
    <row r="45" spans="24:76" ht="14.55" customHeight="1">
      <c r="X45" s="21"/>
      <c r="AR45" s="30" t="s">
        <v>3</v>
      </c>
      <c r="AS45" s="30" t="s">
        <v>133</v>
      </c>
      <c r="AT45" s="57">
        <f>RBS_Data!D25</f>
        <v>1498</v>
      </c>
      <c r="AU45" s="57">
        <f>RBS_Data!E25</f>
        <v>1708</v>
      </c>
      <c r="AV45" s="57">
        <f>RBS_Data!F25</f>
        <v>2294</v>
      </c>
      <c r="AW45" s="57">
        <f>RBS_Data!G25</f>
        <v>2440</v>
      </c>
      <c r="AX45" s="57">
        <f>RBS_Data!H25</f>
        <v>1603</v>
      </c>
      <c r="AY45" s="57">
        <f>RBS_Data!I25</f>
        <v>1016</v>
      </c>
      <c r="BA45" s="15" t="s">
        <v>3</v>
      </c>
      <c r="BB45" s="15" t="s">
        <v>133</v>
      </c>
      <c r="BC45" s="36">
        <f>RBS_Data!M25</f>
        <v>1038</v>
      </c>
      <c r="BD45" s="36">
        <f>RBS_Data!N25</f>
        <v>1158</v>
      </c>
      <c r="BE45" s="36">
        <f>RBS_Data!O25</f>
        <v>1647</v>
      </c>
      <c r="BF45" s="36">
        <f>RBS_Data!P25</f>
        <v>1952</v>
      </c>
      <c r="BG45" s="36">
        <f>RBS_Data!Q25</f>
        <v>839</v>
      </c>
      <c r="BH45" s="36">
        <f>RBS_Data!R25</f>
        <v>1016</v>
      </c>
      <c r="BX45"/>
    </row>
    <row r="46" spans="24:76" ht="14.55" customHeight="1">
      <c r="X46" s="21"/>
      <c r="AR46" s="30" t="s">
        <v>4</v>
      </c>
      <c r="AS46" s="30" t="s">
        <v>134</v>
      </c>
      <c r="AT46" s="57">
        <f>RBS_Data!D26</f>
        <v>5278</v>
      </c>
      <c r="AU46" s="57">
        <f>RBS_Data!E26</f>
        <v>6994</v>
      </c>
      <c r="AV46" s="57">
        <f>RBS_Data!F26</f>
        <v>7298</v>
      </c>
      <c r="AW46" s="57">
        <f>RBS_Data!G26</f>
        <v>6533</v>
      </c>
      <c r="AX46" s="57">
        <f>RBS_Data!H26</f>
        <v>7255</v>
      </c>
      <c r="AY46" s="57">
        <f>RBS_Data!I26</f>
        <v>4380</v>
      </c>
      <c r="BA46" s="15" t="s">
        <v>4</v>
      </c>
      <c r="BB46" s="15" t="s">
        <v>134</v>
      </c>
      <c r="BC46" s="36">
        <f>RBS_Data!M26</f>
        <v>3423</v>
      </c>
      <c r="BD46" s="36">
        <f>RBS_Data!N26</f>
        <v>5759</v>
      </c>
      <c r="BE46" s="36">
        <f>RBS_Data!O26</f>
        <v>5720</v>
      </c>
      <c r="BF46" s="36">
        <f>RBS_Data!P26</f>
        <v>5385</v>
      </c>
      <c r="BG46" s="36">
        <f>RBS_Data!Q26</f>
        <v>6274</v>
      </c>
      <c r="BH46" s="36">
        <f>RBS_Data!R26</f>
        <v>4380</v>
      </c>
      <c r="BX46"/>
    </row>
    <row r="47" spans="24:76" ht="14.55" customHeight="1">
      <c r="X47" s="21"/>
      <c r="AR47" s="30" t="s">
        <v>5</v>
      </c>
      <c r="AS47" s="30" t="s">
        <v>135</v>
      </c>
      <c r="AT47" s="57">
        <f>RBS_Data!D27</f>
        <v>1100</v>
      </c>
      <c r="AU47" s="57">
        <f>RBS_Data!E27</f>
        <v>803</v>
      </c>
      <c r="AV47" s="57">
        <f>RBS_Data!F27</f>
        <v>1005</v>
      </c>
      <c r="AW47" s="57">
        <f>RBS_Data!G27</f>
        <v>723</v>
      </c>
      <c r="AX47" s="57">
        <f>RBS_Data!H27</f>
        <v>873</v>
      </c>
      <c r="AY47" s="57">
        <f>RBS_Data!I27</f>
        <v>683</v>
      </c>
      <c r="BA47" s="15" t="s">
        <v>5</v>
      </c>
      <c r="BB47" s="15" t="s">
        <v>135</v>
      </c>
      <c r="BC47" s="36">
        <f>RBS_Data!M27</f>
        <v>851</v>
      </c>
      <c r="BD47" s="36">
        <f>RBS_Data!N27</f>
        <v>531</v>
      </c>
      <c r="BE47" s="36">
        <f>RBS_Data!O27</f>
        <v>803</v>
      </c>
      <c r="BF47" s="36">
        <f>RBS_Data!P27</f>
        <v>477</v>
      </c>
      <c r="BG47" s="36">
        <f>RBS_Data!Q27</f>
        <v>676</v>
      </c>
      <c r="BH47" s="36">
        <f>RBS_Data!R27</f>
        <v>683</v>
      </c>
      <c r="BX47"/>
    </row>
    <row r="48" spans="24:76" ht="14.55" customHeight="1">
      <c r="X48" s="21"/>
      <c r="AR48" s="30" t="s">
        <v>6</v>
      </c>
      <c r="AS48" s="30" t="s">
        <v>136</v>
      </c>
      <c r="AT48" s="57">
        <f>RBS_Data!D28</f>
        <v>1021</v>
      </c>
      <c r="AU48" s="57">
        <f>RBS_Data!E28</f>
        <v>1451</v>
      </c>
      <c r="AV48" s="57">
        <f>RBS_Data!F28</f>
        <v>2394</v>
      </c>
      <c r="AW48" s="57">
        <f>RBS_Data!G28</f>
        <v>4495</v>
      </c>
      <c r="AX48" s="57">
        <f>RBS_Data!H28</f>
        <v>6785</v>
      </c>
      <c r="AY48" s="57">
        <f>RBS_Data!I28</f>
        <v>820</v>
      </c>
      <c r="BA48" s="15" t="s">
        <v>6</v>
      </c>
      <c r="BB48" s="15" t="s">
        <v>136</v>
      </c>
      <c r="BC48" s="36">
        <f>RBS_Data!M28</f>
        <v>621</v>
      </c>
      <c r="BD48" s="36">
        <f>RBS_Data!N28</f>
        <v>925</v>
      </c>
      <c r="BE48" s="36">
        <f>RBS_Data!O28</f>
        <v>867</v>
      </c>
      <c r="BF48" s="36">
        <f>RBS_Data!P28</f>
        <v>2608</v>
      </c>
      <c r="BG48" s="36">
        <f>RBS_Data!Q28</f>
        <v>3561</v>
      </c>
      <c r="BH48" s="36">
        <f>RBS_Data!R28</f>
        <v>820</v>
      </c>
      <c r="BX48"/>
    </row>
    <row r="49" spans="1:76" ht="14.55" customHeight="1">
      <c r="X49" s="21"/>
      <c r="AR49" s="30" t="s">
        <v>7</v>
      </c>
      <c r="AS49" s="30" t="s">
        <v>137</v>
      </c>
      <c r="AT49" s="57">
        <f>RBS_Data!D29</f>
        <v>792</v>
      </c>
      <c r="AU49" s="57">
        <f>RBS_Data!E29</f>
        <v>1500</v>
      </c>
      <c r="AV49" s="57">
        <f>RBS_Data!F29</f>
        <v>929</v>
      </c>
      <c r="AW49" s="57">
        <f>RBS_Data!G29</f>
        <v>1073</v>
      </c>
      <c r="AX49" s="57">
        <f>RBS_Data!H29</f>
        <v>667</v>
      </c>
      <c r="AY49" s="57">
        <f>RBS_Data!I29</f>
        <v>531</v>
      </c>
      <c r="BA49" s="15" t="s">
        <v>7</v>
      </c>
      <c r="BB49" s="15" t="s">
        <v>137</v>
      </c>
      <c r="BC49" s="36">
        <f>RBS_Data!M29</f>
        <v>458</v>
      </c>
      <c r="BD49" s="36">
        <f>RBS_Data!N29</f>
        <v>916</v>
      </c>
      <c r="BE49" s="36">
        <f>RBS_Data!O29</f>
        <v>319</v>
      </c>
      <c r="BF49" s="36">
        <f>RBS_Data!P29</f>
        <v>685</v>
      </c>
      <c r="BG49" s="36">
        <f>RBS_Data!Q29</f>
        <v>431</v>
      </c>
      <c r="BH49" s="36">
        <f>RBS_Data!R29</f>
        <v>531</v>
      </c>
      <c r="BX49"/>
    </row>
    <row r="50" spans="1:76" ht="14.55" customHeight="1">
      <c r="B50" s="4" t="str">
        <f t="array" ref="B50">IFERROR(INDEX(#REF!,SMALL(IF(#REF!=$BD$3,ROW(#REF!)-MIN(ROW(#REF!))+1),#REF!)), "")</f>
        <v/>
      </c>
      <c r="C50" s="4" t="str">
        <f t="array" ref="C50">IFERROR(INDEX(#REF!,SMALL(IF(#REF!=$BD$3,ROW(#REF!)-MIN(ROW(#REF!))+1),#REF!)), "")</f>
        <v/>
      </c>
      <c r="D50" s="4" t="str">
        <f t="array" ref="D50">IFERROR(INDEX(#REF!,SMALL(IF(#REF!=$BD$3,ROW(#REF!)-MIN(ROW(#REF!))+1),#REF!)), "")</f>
        <v/>
      </c>
      <c r="E50" s="4" t="str">
        <f t="array" ref="E50">IFERROR(INDEX(#REF!,SMALL(IF(#REF!=$BD$3,ROW(#REF!)-MIN(ROW(#REF!))+1),#REF!)), "")</f>
        <v/>
      </c>
      <c r="F50" s="4" t="str">
        <f t="array" ref="F50">IFERROR(INDEX(#REF!,SMALL(IF(#REF!=$BD$3,ROW(#REF!)-MIN(ROW(#REF!))+1),#REF!)), "")</f>
        <v/>
      </c>
      <c r="G50" s="4" t="str">
        <f t="array" ref="G50">IFERROR(INDEX(#REF!,SMALL(IF(#REF!=$BD$3,ROW(#REF!)-MIN(ROW(#REF!))+1),#REF!)), "")</f>
        <v/>
      </c>
      <c r="H50" s="4" t="str">
        <f t="array" ref="H50">IFERROR(INDEX(#REF!,SMALL(IF(#REF!=$BD$3,ROW(#REF!)-MIN(ROW(#REF!))+1),#REF!)), "")</f>
        <v/>
      </c>
      <c r="I50" s="4" t="str">
        <f t="array" ref="I50">IFERROR(INDEX(#REF!,SMALL(IF(#REF!=$BD$3,ROW(#REF!)-MIN(ROW(#REF!))+1),#REF!)), "")</f>
        <v/>
      </c>
      <c r="J50" s="4" t="str">
        <f t="array" ref="J50">IFERROR(INDEX(#REF!,SMALL(IF(#REF!=$BD$3,ROW(#REF!)-MIN(ROW(#REF!))+1),#REF!)), "")</f>
        <v/>
      </c>
      <c r="X50" s="21"/>
      <c r="AR50" s="30" t="s">
        <v>8</v>
      </c>
      <c r="AS50" s="30" t="s">
        <v>138</v>
      </c>
      <c r="AT50" s="57">
        <f>RBS_Data!D30</f>
        <v>737</v>
      </c>
      <c r="AU50" s="57">
        <f>RBS_Data!E30</f>
        <v>1089</v>
      </c>
      <c r="AV50" s="57">
        <f>RBS_Data!F30</f>
        <v>1643</v>
      </c>
      <c r="AW50" s="57">
        <f>RBS_Data!G30</f>
        <v>1535</v>
      </c>
      <c r="AX50" s="57">
        <f>RBS_Data!H30</f>
        <v>1948</v>
      </c>
      <c r="AY50" s="57">
        <f>RBS_Data!I30</f>
        <v>242</v>
      </c>
      <c r="BA50" s="15" t="s">
        <v>8</v>
      </c>
      <c r="BB50" s="15" t="s">
        <v>138</v>
      </c>
      <c r="BC50" s="36">
        <f>RBS_Data!M30</f>
        <v>489</v>
      </c>
      <c r="BD50" s="36">
        <f>RBS_Data!N30</f>
        <v>837</v>
      </c>
      <c r="BE50" s="36">
        <f>RBS_Data!O30</f>
        <v>1227</v>
      </c>
      <c r="BF50" s="36">
        <f>RBS_Data!P30</f>
        <v>1298</v>
      </c>
      <c r="BG50" s="36">
        <f>RBS_Data!Q30</f>
        <v>1703</v>
      </c>
      <c r="BH50" s="36">
        <f>RBS_Data!R30</f>
        <v>242</v>
      </c>
      <c r="BX50"/>
    </row>
    <row r="51" spans="1:76" ht="14.25" customHeight="1">
      <c r="X51" s="21"/>
      <c r="AR51" s="30" t="s">
        <v>9</v>
      </c>
      <c r="AS51" s="30" t="s">
        <v>139</v>
      </c>
      <c r="AT51" s="57">
        <f>RBS_Data!D31</f>
        <v>142</v>
      </c>
      <c r="AU51" s="57">
        <f>RBS_Data!E31</f>
        <v>202</v>
      </c>
      <c r="AV51" s="57">
        <f>RBS_Data!F31</f>
        <v>212</v>
      </c>
      <c r="AW51" s="57">
        <f>RBS_Data!G31</f>
        <v>227</v>
      </c>
      <c r="AX51" s="57">
        <f>RBS_Data!H31</f>
        <v>335</v>
      </c>
      <c r="AY51" s="57">
        <f>RBS_Data!I31</f>
        <v>246</v>
      </c>
      <c r="BA51" s="15" t="s">
        <v>9</v>
      </c>
      <c r="BB51" s="15" t="s">
        <v>139</v>
      </c>
      <c r="BC51" s="36">
        <f>RBS_Data!M31</f>
        <v>21</v>
      </c>
      <c r="BD51" s="36">
        <f>RBS_Data!N31</f>
        <v>58</v>
      </c>
      <c r="BE51" s="36">
        <f>RBS_Data!O31</f>
        <v>69</v>
      </c>
      <c r="BF51" s="36">
        <f>RBS_Data!P31</f>
        <v>121</v>
      </c>
      <c r="BG51" s="36">
        <f>RBS_Data!Q31</f>
        <v>98</v>
      </c>
      <c r="BH51" s="36">
        <f>RBS_Data!R31</f>
        <v>246</v>
      </c>
      <c r="BX51"/>
    </row>
    <row r="52" spans="1:76" s="10" customFormat="1" ht="19.2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21"/>
      <c r="Y52" s="4"/>
      <c r="Z52"/>
      <c r="AA52"/>
      <c r="AK52"/>
      <c r="AL52"/>
      <c r="AM52"/>
      <c r="AN52"/>
      <c r="AO52"/>
      <c r="AP52"/>
      <c r="AQ52" s="4"/>
      <c r="AR52" s="30" t="s">
        <v>10</v>
      </c>
      <c r="AS52" s="30" t="s">
        <v>140</v>
      </c>
      <c r="AT52" s="57">
        <f>RBS_Data!D32</f>
        <v>1151</v>
      </c>
      <c r="AU52" s="57">
        <f>RBS_Data!E32</f>
        <v>1430</v>
      </c>
      <c r="AV52" s="57">
        <f>RBS_Data!F32</f>
        <v>1621</v>
      </c>
      <c r="AW52" s="57">
        <f>RBS_Data!G32</f>
        <v>1929</v>
      </c>
      <c r="AX52" s="57">
        <f>RBS_Data!H32</f>
        <v>2484</v>
      </c>
      <c r="AY52" s="57">
        <f>RBS_Data!I32</f>
        <v>1520</v>
      </c>
      <c r="AZ52"/>
      <c r="BA52" s="15" t="s">
        <v>10</v>
      </c>
      <c r="BB52" s="15" t="s">
        <v>140</v>
      </c>
      <c r="BC52" s="36">
        <f>RBS_Data!M32</f>
        <v>859</v>
      </c>
      <c r="BD52" s="36">
        <f>RBS_Data!N32</f>
        <v>1170</v>
      </c>
      <c r="BE52" s="36">
        <f>RBS_Data!O32</f>
        <v>1417</v>
      </c>
      <c r="BF52" s="36">
        <f>RBS_Data!P32</f>
        <v>1161</v>
      </c>
      <c r="BG52" s="36">
        <f>RBS_Data!Q32</f>
        <v>1655</v>
      </c>
      <c r="BH52" s="36">
        <f>RBS_Data!R32</f>
        <v>1520</v>
      </c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X52"/>
    </row>
    <row r="53" spans="1:76" ht="14.55" customHeight="1">
      <c r="X53" s="21"/>
      <c r="AR53" s="30" t="s">
        <v>11</v>
      </c>
      <c r="AS53" s="30" t="s">
        <v>141</v>
      </c>
      <c r="AT53" s="57">
        <f>RBS_Data!D33</f>
        <v>293</v>
      </c>
      <c r="AU53" s="57">
        <f>RBS_Data!E33</f>
        <v>349</v>
      </c>
      <c r="AV53" s="57">
        <f>RBS_Data!F33</f>
        <v>745</v>
      </c>
      <c r="AW53" s="57">
        <f>RBS_Data!G33</f>
        <v>424</v>
      </c>
      <c r="AX53" s="57">
        <f>RBS_Data!H33</f>
        <v>1318</v>
      </c>
      <c r="AY53" s="57">
        <f>RBS_Data!I33</f>
        <v>609</v>
      </c>
      <c r="BA53" s="15" t="s">
        <v>11</v>
      </c>
      <c r="BB53" s="15" t="s">
        <v>141</v>
      </c>
      <c r="BC53" s="36">
        <f>RBS_Data!M33</f>
        <v>161</v>
      </c>
      <c r="BD53" s="36">
        <f>RBS_Data!N33</f>
        <v>208</v>
      </c>
      <c r="BE53" s="36">
        <f>RBS_Data!O33</f>
        <v>274</v>
      </c>
      <c r="BF53" s="36">
        <f>RBS_Data!P33</f>
        <v>281</v>
      </c>
      <c r="BG53" s="36">
        <f>RBS_Data!Q33</f>
        <v>425</v>
      </c>
      <c r="BH53" s="36">
        <f>RBS_Data!R33</f>
        <v>609</v>
      </c>
      <c r="BX53"/>
    </row>
    <row r="54" spans="1:76" ht="14.55" customHeight="1">
      <c r="X54" s="21"/>
      <c r="AR54" s="30" t="s">
        <v>12</v>
      </c>
      <c r="AS54" s="30" t="s">
        <v>142</v>
      </c>
      <c r="AT54" s="57">
        <f>RBS_Data!D34</f>
        <v>562</v>
      </c>
      <c r="AU54" s="57">
        <f>RBS_Data!E34</f>
        <v>1802</v>
      </c>
      <c r="AV54" s="57">
        <f>RBS_Data!F34</f>
        <v>1133</v>
      </c>
      <c r="AW54" s="57">
        <f>RBS_Data!G34</f>
        <v>1274</v>
      </c>
      <c r="AX54" s="57">
        <f>RBS_Data!H34</f>
        <v>982</v>
      </c>
      <c r="AY54" s="57">
        <f>RBS_Data!I34</f>
        <v>567</v>
      </c>
      <c r="BA54" s="15" t="s">
        <v>12</v>
      </c>
      <c r="BB54" s="15" t="s">
        <v>142</v>
      </c>
      <c r="BC54" s="36">
        <f>RBS_Data!M34</f>
        <v>178</v>
      </c>
      <c r="BD54" s="36">
        <f>RBS_Data!N34</f>
        <v>1149</v>
      </c>
      <c r="BE54" s="36">
        <f>RBS_Data!O34</f>
        <v>817</v>
      </c>
      <c r="BF54" s="36">
        <f>RBS_Data!P34</f>
        <v>750</v>
      </c>
      <c r="BG54" s="36">
        <f>RBS_Data!Q34</f>
        <v>683</v>
      </c>
      <c r="BH54" s="36">
        <f>RBS_Data!R34</f>
        <v>567</v>
      </c>
      <c r="BX54"/>
    </row>
    <row r="55" spans="1:76" ht="14.55" customHeight="1">
      <c r="X55" s="21"/>
      <c r="AR55" s="30" t="s">
        <v>13</v>
      </c>
      <c r="AS55" s="30" t="s">
        <v>143</v>
      </c>
      <c r="AT55" s="57">
        <f>RBS_Data!D35</f>
        <v>1293</v>
      </c>
      <c r="AU55" s="57">
        <f>RBS_Data!E35</f>
        <v>1099</v>
      </c>
      <c r="AV55" s="57">
        <f>RBS_Data!F35</f>
        <v>1511</v>
      </c>
      <c r="AW55" s="57">
        <f>RBS_Data!G35</f>
        <v>1431</v>
      </c>
      <c r="AX55" s="57">
        <f>RBS_Data!H35</f>
        <v>1456</v>
      </c>
      <c r="AY55" s="57">
        <f>RBS_Data!I35</f>
        <v>256</v>
      </c>
      <c r="BA55" s="15" t="s">
        <v>13</v>
      </c>
      <c r="BB55" s="15" t="s">
        <v>143</v>
      </c>
      <c r="BC55" s="36">
        <f>RBS_Data!M35</f>
        <v>980</v>
      </c>
      <c r="BD55" s="36">
        <f>RBS_Data!N35</f>
        <v>847</v>
      </c>
      <c r="BE55" s="36">
        <f>RBS_Data!O35</f>
        <v>987</v>
      </c>
      <c r="BF55" s="36">
        <f>RBS_Data!P35</f>
        <v>993</v>
      </c>
      <c r="BG55" s="36">
        <f>RBS_Data!Q35</f>
        <v>832</v>
      </c>
      <c r="BH55" s="36">
        <f>RBS_Data!R35</f>
        <v>256</v>
      </c>
      <c r="BX55"/>
    </row>
    <row r="56" spans="1:76" ht="14.55" customHeight="1">
      <c r="X56" s="21"/>
      <c r="AR56" s="30" t="s">
        <v>14</v>
      </c>
      <c r="AS56" s="30" t="s">
        <v>144</v>
      </c>
      <c r="AT56" s="57">
        <f>RBS_Data!D36</f>
        <v>21</v>
      </c>
      <c r="AU56" s="57">
        <f>RBS_Data!E36</f>
        <v>13</v>
      </c>
      <c r="AV56" s="57">
        <f>RBS_Data!F36</f>
        <v>35</v>
      </c>
      <c r="AW56" s="57">
        <f>RBS_Data!G36</f>
        <v>44</v>
      </c>
      <c r="AX56" s="57">
        <f>RBS_Data!H36</f>
        <v>52</v>
      </c>
      <c r="AY56" s="57">
        <f>RBS_Data!I36</f>
        <v>0</v>
      </c>
      <c r="BA56" s="15" t="s">
        <v>14</v>
      </c>
      <c r="BB56" s="15" t="s">
        <v>144</v>
      </c>
      <c r="BC56" s="36">
        <f>RBS_Data!M36</f>
        <v>0</v>
      </c>
      <c r="BD56" s="36">
        <f>RBS_Data!N36</f>
        <v>8</v>
      </c>
      <c r="BE56" s="36">
        <f>RBS_Data!O36</f>
        <v>31</v>
      </c>
      <c r="BF56" s="36">
        <f>RBS_Data!P36</f>
        <v>3</v>
      </c>
      <c r="BG56" s="36">
        <f>RBS_Data!Q36</f>
        <v>51</v>
      </c>
      <c r="BH56" s="36">
        <f>RBS_Data!R36</f>
        <v>0</v>
      </c>
      <c r="BX56"/>
    </row>
    <row r="57" spans="1:76" ht="14.55" customHeight="1">
      <c r="X57" s="21"/>
      <c r="AR57" s="30" t="s">
        <v>15</v>
      </c>
      <c r="AS57" s="30" t="s">
        <v>145</v>
      </c>
      <c r="AT57" s="57">
        <f>RBS_Data!D37</f>
        <v>2</v>
      </c>
      <c r="AU57" s="57">
        <f>RBS_Data!E37</f>
        <v>23</v>
      </c>
      <c r="AV57" s="57">
        <f>RBS_Data!F37</f>
        <v>45</v>
      </c>
      <c r="AW57" s="57">
        <f>RBS_Data!G37</f>
        <v>27</v>
      </c>
      <c r="AX57" s="57">
        <f>RBS_Data!H37</f>
        <v>30</v>
      </c>
      <c r="AY57" s="57">
        <f>RBS_Data!I37</f>
        <v>11</v>
      </c>
      <c r="BA57" s="15" t="s">
        <v>15</v>
      </c>
      <c r="BB57" s="15" t="s">
        <v>145</v>
      </c>
      <c r="BC57" s="36">
        <f>RBS_Data!M37</f>
        <v>0</v>
      </c>
      <c r="BD57" s="36">
        <f>RBS_Data!N37</f>
        <v>18</v>
      </c>
      <c r="BE57" s="36">
        <f>RBS_Data!O37</f>
        <v>9</v>
      </c>
      <c r="BF57" s="36">
        <f>RBS_Data!P37</f>
        <v>6</v>
      </c>
      <c r="BG57" s="36">
        <f>RBS_Data!Q37</f>
        <v>9</v>
      </c>
      <c r="BH57" s="36">
        <f>RBS_Data!R37</f>
        <v>11</v>
      </c>
      <c r="BX57"/>
    </row>
    <row r="58" spans="1:76" ht="14.55" customHeight="1">
      <c r="X58" s="21"/>
      <c r="AR58" s="30" t="s">
        <v>27</v>
      </c>
      <c r="AS58" s="30" t="s">
        <v>29</v>
      </c>
      <c r="AT58" s="57">
        <f>RBS_Data!D38</f>
        <v>18438</v>
      </c>
      <c r="AU58" s="57">
        <f>RBS_Data!E38</f>
        <v>24152</v>
      </c>
      <c r="AV58" s="57">
        <f>RBS_Data!F38</f>
        <v>27328</v>
      </c>
      <c r="AW58" s="57">
        <f>RBS_Data!G38</f>
        <v>28486</v>
      </c>
      <c r="AX58" s="57">
        <f>RBS_Data!H38</f>
        <v>32292</v>
      </c>
      <c r="AY58" s="57">
        <f>RBS_Data!I38</f>
        <v>12783</v>
      </c>
      <c r="BA58" s="15" t="s">
        <v>27</v>
      </c>
      <c r="BB58" s="14" t="s">
        <v>29</v>
      </c>
      <c r="BC58" s="36">
        <f>RBS_Data!M38</f>
        <v>10520</v>
      </c>
      <c r="BD58" s="36">
        <f>RBS_Data!N38</f>
        <v>16543</v>
      </c>
      <c r="BE58" s="36">
        <f>RBS_Data!O38</f>
        <v>17787</v>
      </c>
      <c r="BF58" s="36">
        <f>RBS_Data!P38</f>
        <v>19169</v>
      </c>
      <c r="BG58" s="36">
        <f>RBS_Data!Q38</f>
        <v>20628</v>
      </c>
      <c r="BH58" s="36">
        <f>RBS_Data!R38</f>
        <v>12783</v>
      </c>
      <c r="BX58"/>
    </row>
    <row r="59" spans="1:76" ht="14.55" customHeight="1">
      <c r="X59" s="21"/>
      <c r="AR59"/>
      <c r="BX59"/>
    </row>
    <row r="60" spans="1:76" ht="14.55" customHeight="1">
      <c r="X60" s="21"/>
      <c r="AR60"/>
      <c r="BX60"/>
    </row>
    <row r="61" spans="1:76" ht="14.55" customHeight="1">
      <c r="X61" s="21"/>
      <c r="AR61" s="30" t="s">
        <v>21</v>
      </c>
      <c r="AS61" s="30" t="s">
        <v>20</v>
      </c>
      <c r="AT61" s="30" t="s">
        <v>30</v>
      </c>
      <c r="AU61" s="30" t="s">
        <v>22</v>
      </c>
      <c r="AV61" s="30" t="s">
        <v>39</v>
      </c>
      <c r="AW61" s="30" t="s">
        <v>40</v>
      </c>
      <c r="AX61" s="30" t="s">
        <v>41</v>
      </c>
      <c r="AY61" s="30" t="s">
        <v>42</v>
      </c>
      <c r="AZ61" s="17"/>
      <c r="BA61" s="12" t="s">
        <v>21</v>
      </c>
      <c r="BB61" s="12" t="s">
        <v>20</v>
      </c>
      <c r="BC61" s="12" t="s">
        <v>30</v>
      </c>
      <c r="BD61" s="12" t="s">
        <v>22</v>
      </c>
      <c r="BE61" s="12" t="s">
        <v>39</v>
      </c>
      <c r="BF61" s="12" t="s">
        <v>40</v>
      </c>
      <c r="BG61" s="12" t="s">
        <v>41</v>
      </c>
      <c r="BH61" s="12" t="s">
        <v>42</v>
      </c>
      <c r="BX61"/>
    </row>
    <row r="62" spans="1:76" ht="14.55" customHeight="1">
      <c r="X62" s="21"/>
      <c r="AR62" s="30" t="s">
        <v>0</v>
      </c>
      <c r="AS62" s="30" t="s">
        <v>131</v>
      </c>
      <c r="AT62" s="57">
        <f>RBS_Data!D42</f>
        <v>1004</v>
      </c>
      <c r="AU62" s="57">
        <f>RBS_Data!E42</f>
        <v>1723</v>
      </c>
      <c r="AV62" s="57">
        <f>RBS_Data!F42</f>
        <v>2151</v>
      </c>
      <c r="AW62" s="57">
        <f>RBS_Data!G42</f>
        <v>2077</v>
      </c>
      <c r="AX62" s="57">
        <f>RBS_Data!H42</f>
        <v>1604</v>
      </c>
      <c r="AY62" s="57">
        <f>RBS_Data!I42</f>
        <v>710</v>
      </c>
      <c r="BA62" s="15" t="s">
        <v>0</v>
      </c>
      <c r="BB62" s="15" t="s">
        <v>131</v>
      </c>
      <c r="BC62" s="36">
        <f>RBS_Data!M42</f>
        <v>349</v>
      </c>
      <c r="BD62" s="36">
        <f>RBS_Data!N42</f>
        <v>829</v>
      </c>
      <c r="BE62" s="36">
        <f>RBS_Data!O42</f>
        <v>1003</v>
      </c>
      <c r="BF62" s="36">
        <f>RBS_Data!P42</f>
        <v>1200</v>
      </c>
      <c r="BG62" s="36">
        <f>RBS_Data!Q42</f>
        <v>793</v>
      </c>
      <c r="BH62" s="36">
        <f>RBS_Data!R42</f>
        <v>710</v>
      </c>
      <c r="BX62"/>
    </row>
    <row r="63" spans="1:76" ht="14.55" customHeight="1">
      <c r="X63" s="21"/>
      <c r="AR63" s="30" t="s">
        <v>1</v>
      </c>
      <c r="AS63" s="30" t="s">
        <v>130</v>
      </c>
      <c r="AT63" s="57">
        <f>RBS_Data!D43</f>
        <v>12756</v>
      </c>
      <c r="AU63" s="57">
        <f>RBS_Data!E43</f>
        <v>13976</v>
      </c>
      <c r="AV63" s="57">
        <f>RBS_Data!F43</f>
        <v>11874</v>
      </c>
      <c r="AW63" s="57">
        <f>RBS_Data!G43</f>
        <v>12291</v>
      </c>
      <c r="AX63" s="57">
        <f>RBS_Data!H43</f>
        <v>12768</v>
      </c>
      <c r="AY63" s="57">
        <f>RBS_Data!I43</f>
        <v>5188</v>
      </c>
      <c r="BA63" s="15" t="s">
        <v>1</v>
      </c>
      <c r="BB63" s="15" t="s">
        <v>130</v>
      </c>
      <c r="BC63" s="36">
        <f>RBS_Data!M43</f>
        <v>5195</v>
      </c>
      <c r="BD63" s="36">
        <f>RBS_Data!N43</f>
        <v>7610</v>
      </c>
      <c r="BE63" s="36">
        <f>RBS_Data!O43</f>
        <v>6463</v>
      </c>
      <c r="BF63" s="36">
        <f>RBS_Data!P43</f>
        <v>6519</v>
      </c>
      <c r="BG63" s="36">
        <f>RBS_Data!Q43</f>
        <v>7158</v>
      </c>
      <c r="BH63" s="36">
        <f>RBS_Data!R43</f>
        <v>5188</v>
      </c>
      <c r="BX63"/>
    </row>
    <row r="64" spans="1:76" ht="14.55" customHeight="1">
      <c r="X64" s="21"/>
      <c r="AR64" s="30" t="s">
        <v>2</v>
      </c>
      <c r="AS64" s="30" t="s">
        <v>132</v>
      </c>
      <c r="AT64" s="57">
        <f>RBS_Data!D44</f>
        <v>2959</v>
      </c>
      <c r="AU64" s="57">
        <f>RBS_Data!E44</f>
        <v>3669</v>
      </c>
      <c r="AV64" s="57">
        <f>RBS_Data!F44</f>
        <v>3562</v>
      </c>
      <c r="AW64" s="57">
        <f>RBS_Data!G44</f>
        <v>4288</v>
      </c>
      <c r="AX64" s="57">
        <f>RBS_Data!H44</f>
        <v>5657</v>
      </c>
      <c r="AY64" s="57">
        <f>RBS_Data!I44</f>
        <v>2669</v>
      </c>
      <c r="BA64" s="15" t="s">
        <v>2</v>
      </c>
      <c r="BB64" s="15" t="s">
        <v>132</v>
      </c>
      <c r="BC64" s="36">
        <f>RBS_Data!M44</f>
        <v>1314</v>
      </c>
      <c r="BD64" s="36">
        <f>RBS_Data!N44</f>
        <v>1719</v>
      </c>
      <c r="BE64" s="36">
        <f>RBS_Data!O44</f>
        <v>2046</v>
      </c>
      <c r="BF64" s="36">
        <f>RBS_Data!P44</f>
        <v>2110</v>
      </c>
      <c r="BG64" s="36">
        <f>RBS_Data!Q44</f>
        <v>2804</v>
      </c>
      <c r="BH64" s="36">
        <f>RBS_Data!R44</f>
        <v>2669</v>
      </c>
      <c r="BX64"/>
    </row>
    <row r="65" spans="1:76" ht="14.55" customHeight="1">
      <c r="X65" s="21"/>
      <c r="AR65" s="30" t="s">
        <v>3</v>
      </c>
      <c r="AS65" s="30" t="s">
        <v>133</v>
      </c>
      <c r="AT65" s="57">
        <f>RBS_Data!D45</f>
        <v>4924</v>
      </c>
      <c r="AU65" s="57">
        <f>RBS_Data!E45</f>
        <v>5882</v>
      </c>
      <c r="AV65" s="57">
        <f>RBS_Data!F45</f>
        <v>6327</v>
      </c>
      <c r="AW65" s="57">
        <f>RBS_Data!G45</f>
        <v>4969</v>
      </c>
      <c r="AX65" s="57">
        <f>RBS_Data!H45</f>
        <v>5066</v>
      </c>
      <c r="AY65" s="57">
        <f>RBS_Data!I45</f>
        <v>1729</v>
      </c>
      <c r="BA65" s="15" t="s">
        <v>3</v>
      </c>
      <c r="BB65" s="15" t="s">
        <v>133</v>
      </c>
      <c r="BC65" s="36">
        <f>RBS_Data!M45</f>
        <v>2216</v>
      </c>
      <c r="BD65" s="36">
        <f>RBS_Data!N45</f>
        <v>2860</v>
      </c>
      <c r="BE65" s="36">
        <f>RBS_Data!O45</f>
        <v>3374</v>
      </c>
      <c r="BF65" s="36">
        <f>RBS_Data!P45</f>
        <v>2807</v>
      </c>
      <c r="BG65" s="36">
        <f>RBS_Data!Q45</f>
        <v>2900</v>
      </c>
      <c r="BH65" s="36">
        <f>RBS_Data!R45</f>
        <v>1729</v>
      </c>
      <c r="BX65"/>
    </row>
    <row r="66" spans="1:76" ht="14.55" customHeight="1">
      <c r="X66" s="21"/>
      <c r="AR66" s="30" t="s">
        <v>4</v>
      </c>
      <c r="AS66" s="30" t="s">
        <v>134</v>
      </c>
      <c r="AT66" s="57">
        <f>RBS_Data!D46</f>
        <v>17604</v>
      </c>
      <c r="AU66" s="57">
        <f>RBS_Data!E46</f>
        <v>17109</v>
      </c>
      <c r="AV66" s="57">
        <f>RBS_Data!F46</f>
        <v>16273</v>
      </c>
      <c r="AW66" s="57">
        <f>RBS_Data!G46</f>
        <v>16678</v>
      </c>
      <c r="AX66" s="57">
        <f>RBS_Data!H46</f>
        <v>14874</v>
      </c>
      <c r="AY66" s="57">
        <f>RBS_Data!I46</f>
        <v>7073</v>
      </c>
      <c r="BA66" s="15" t="s">
        <v>4</v>
      </c>
      <c r="BB66" s="15" t="s">
        <v>134</v>
      </c>
      <c r="BC66" s="36">
        <f>RBS_Data!M46</f>
        <v>8880</v>
      </c>
      <c r="BD66" s="36">
        <f>RBS_Data!N46</f>
        <v>9305</v>
      </c>
      <c r="BE66" s="36">
        <f>RBS_Data!O46</f>
        <v>9074</v>
      </c>
      <c r="BF66" s="36">
        <f>RBS_Data!P46</f>
        <v>8966</v>
      </c>
      <c r="BG66" s="36">
        <f>RBS_Data!Q46</f>
        <v>8439</v>
      </c>
      <c r="BH66" s="36">
        <f>RBS_Data!R46</f>
        <v>7073</v>
      </c>
      <c r="BX66"/>
    </row>
    <row r="67" spans="1:76" ht="14.55" customHeight="1">
      <c r="X67" s="21"/>
      <c r="AR67" s="30" t="s">
        <v>5</v>
      </c>
      <c r="AS67" s="30" t="s">
        <v>135</v>
      </c>
      <c r="AT67" s="57">
        <f>RBS_Data!D47</f>
        <v>3530</v>
      </c>
      <c r="AU67" s="57">
        <f>RBS_Data!E47</f>
        <v>3406</v>
      </c>
      <c r="AV67" s="57">
        <f>RBS_Data!F47</f>
        <v>4400</v>
      </c>
      <c r="AW67" s="57">
        <f>RBS_Data!G47</f>
        <v>4427</v>
      </c>
      <c r="AX67" s="57">
        <f>RBS_Data!H47</f>
        <v>4786</v>
      </c>
      <c r="AY67" s="57">
        <f>RBS_Data!I47</f>
        <v>2305</v>
      </c>
      <c r="BA67" s="15" t="s">
        <v>5</v>
      </c>
      <c r="BB67" s="15" t="s">
        <v>135</v>
      </c>
      <c r="BC67" s="36">
        <f>RBS_Data!M47</f>
        <v>1901</v>
      </c>
      <c r="BD67" s="36">
        <f>RBS_Data!N47</f>
        <v>1642</v>
      </c>
      <c r="BE67" s="36">
        <f>RBS_Data!O47</f>
        <v>2688</v>
      </c>
      <c r="BF67" s="36">
        <f>RBS_Data!P47</f>
        <v>2319</v>
      </c>
      <c r="BG67" s="36">
        <f>RBS_Data!Q47</f>
        <v>2513</v>
      </c>
      <c r="BH67" s="36">
        <f>RBS_Data!R47</f>
        <v>2305</v>
      </c>
      <c r="BX67"/>
    </row>
    <row r="68" spans="1:76" ht="14.55" customHeight="1">
      <c r="X68" s="21"/>
      <c r="AR68" s="30" t="s">
        <v>6</v>
      </c>
      <c r="AS68" s="30" t="s">
        <v>136</v>
      </c>
      <c r="AT68" s="57">
        <f>RBS_Data!D48</f>
        <v>1970</v>
      </c>
      <c r="AU68" s="57">
        <f>RBS_Data!E48</f>
        <v>2705</v>
      </c>
      <c r="AV68" s="57">
        <f>RBS_Data!F48</f>
        <v>5671</v>
      </c>
      <c r="AW68" s="57">
        <f>RBS_Data!G48</f>
        <v>7202</v>
      </c>
      <c r="AX68" s="57">
        <f>RBS_Data!H48</f>
        <v>7367</v>
      </c>
      <c r="AY68" s="57">
        <f>RBS_Data!I48</f>
        <v>3118</v>
      </c>
      <c r="BA68" s="15" t="s">
        <v>6</v>
      </c>
      <c r="BB68" s="15" t="s">
        <v>136</v>
      </c>
      <c r="BC68" s="36">
        <f>RBS_Data!M48</f>
        <v>756</v>
      </c>
      <c r="BD68" s="36">
        <f>RBS_Data!N48</f>
        <v>1311</v>
      </c>
      <c r="BE68" s="36">
        <f>RBS_Data!O48</f>
        <v>2653</v>
      </c>
      <c r="BF68" s="36">
        <f>RBS_Data!P48</f>
        <v>4201</v>
      </c>
      <c r="BG68" s="36">
        <f>RBS_Data!Q48</f>
        <v>3861</v>
      </c>
      <c r="BH68" s="36">
        <f>RBS_Data!R48</f>
        <v>3118</v>
      </c>
      <c r="BX68"/>
    </row>
    <row r="69" spans="1:76" ht="14.55" customHeight="1">
      <c r="X69" s="21"/>
      <c r="AR69" s="30" t="s">
        <v>7</v>
      </c>
      <c r="AS69" s="30" t="s">
        <v>137</v>
      </c>
      <c r="AT69" s="57">
        <f>RBS_Data!D49</f>
        <v>1000</v>
      </c>
      <c r="AU69" s="57">
        <f>RBS_Data!E49</f>
        <v>1691</v>
      </c>
      <c r="AV69" s="57">
        <f>RBS_Data!F49</f>
        <v>2261</v>
      </c>
      <c r="AW69" s="57">
        <f>RBS_Data!G49</f>
        <v>2637</v>
      </c>
      <c r="AX69" s="57">
        <f>RBS_Data!H49</f>
        <v>2599</v>
      </c>
      <c r="AY69" s="57">
        <f>RBS_Data!I49</f>
        <v>889</v>
      </c>
      <c r="BA69" s="15" t="s">
        <v>7</v>
      </c>
      <c r="BB69" s="15" t="s">
        <v>137</v>
      </c>
      <c r="BC69" s="36">
        <f>RBS_Data!M49</f>
        <v>404</v>
      </c>
      <c r="BD69" s="36">
        <f>RBS_Data!N49</f>
        <v>870</v>
      </c>
      <c r="BE69" s="36">
        <f>RBS_Data!O49</f>
        <v>1131</v>
      </c>
      <c r="BF69" s="36">
        <f>RBS_Data!P49</f>
        <v>1106</v>
      </c>
      <c r="BG69" s="36">
        <f>RBS_Data!Q49</f>
        <v>1594</v>
      </c>
      <c r="BH69" s="36">
        <f>RBS_Data!R49</f>
        <v>889</v>
      </c>
      <c r="BX69"/>
    </row>
    <row r="70" spans="1:76" ht="14.55" customHeight="1">
      <c r="X70" s="21"/>
      <c r="AR70" s="30" t="s">
        <v>8</v>
      </c>
      <c r="AS70" s="30" t="s">
        <v>138</v>
      </c>
      <c r="AT70" s="57">
        <f>RBS_Data!D50</f>
        <v>1852</v>
      </c>
      <c r="AU70" s="57">
        <f>RBS_Data!E50</f>
        <v>1501</v>
      </c>
      <c r="AV70" s="57">
        <f>RBS_Data!F50</f>
        <v>1772</v>
      </c>
      <c r="AW70" s="57">
        <f>RBS_Data!G50</f>
        <v>2120</v>
      </c>
      <c r="AX70" s="57">
        <f>RBS_Data!H50</f>
        <v>1877</v>
      </c>
      <c r="AY70" s="57">
        <f>RBS_Data!I50</f>
        <v>856</v>
      </c>
      <c r="BA70" s="15" t="s">
        <v>8</v>
      </c>
      <c r="BB70" s="15" t="s">
        <v>138</v>
      </c>
      <c r="BC70" s="36">
        <f>RBS_Data!M50</f>
        <v>1129</v>
      </c>
      <c r="BD70" s="36">
        <f>RBS_Data!N50</f>
        <v>858</v>
      </c>
      <c r="BE70" s="36">
        <f>RBS_Data!O50</f>
        <v>845</v>
      </c>
      <c r="BF70" s="36">
        <f>RBS_Data!P50</f>
        <v>1054</v>
      </c>
      <c r="BG70" s="36">
        <f>RBS_Data!Q50</f>
        <v>1178</v>
      </c>
      <c r="BH70" s="36">
        <f>RBS_Data!R50</f>
        <v>856</v>
      </c>
      <c r="BX70"/>
    </row>
    <row r="71" spans="1:76" ht="14.55" customHeight="1">
      <c r="X71" s="21"/>
      <c r="AR71" s="30" t="s">
        <v>9</v>
      </c>
      <c r="AS71" s="30" t="s">
        <v>139</v>
      </c>
      <c r="AT71" s="57">
        <f>RBS_Data!D51</f>
        <v>300</v>
      </c>
      <c r="AU71" s="57">
        <f>RBS_Data!E51</f>
        <v>498</v>
      </c>
      <c r="AV71" s="57">
        <f>RBS_Data!F51</f>
        <v>463</v>
      </c>
      <c r="AW71" s="57">
        <f>RBS_Data!G51</f>
        <v>490</v>
      </c>
      <c r="AX71" s="57">
        <f>RBS_Data!H51</f>
        <v>704</v>
      </c>
      <c r="AY71" s="57">
        <f>RBS_Data!I51</f>
        <v>574</v>
      </c>
      <c r="BA71" s="15" t="s">
        <v>9</v>
      </c>
      <c r="BB71" s="15" t="s">
        <v>139</v>
      </c>
      <c r="BC71" s="36">
        <f>RBS_Data!M51</f>
        <v>100</v>
      </c>
      <c r="BD71" s="36">
        <f>RBS_Data!N51</f>
        <v>285</v>
      </c>
      <c r="BE71" s="36">
        <f>RBS_Data!O51</f>
        <v>228</v>
      </c>
      <c r="BF71" s="36">
        <f>RBS_Data!P51</f>
        <v>330</v>
      </c>
      <c r="BG71" s="36">
        <f>RBS_Data!Q51</f>
        <v>268</v>
      </c>
      <c r="BH71" s="36">
        <f>RBS_Data!R51</f>
        <v>574</v>
      </c>
      <c r="BX71"/>
    </row>
    <row r="72" spans="1:76" ht="14.55" customHeight="1">
      <c r="X72" s="21"/>
      <c r="AR72" s="30" t="s">
        <v>10</v>
      </c>
      <c r="AS72" s="30" t="s">
        <v>140</v>
      </c>
      <c r="AT72" s="57">
        <f>RBS_Data!D52</f>
        <v>1490</v>
      </c>
      <c r="AU72" s="57">
        <f>RBS_Data!E52</f>
        <v>1624</v>
      </c>
      <c r="AV72" s="57">
        <f>RBS_Data!F52</f>
        <v>2360</v>
      </c>
      <c r="AW72" s="57">
        <f>RBS_Data!G52</f>
        <v>2822</v>
      </c>
      <c r="AX72" s="57">
        <f>RBS_Data!H52</f>
        <v>2581</v>
      </c>
      <c r="AY72" s="57">
        <f>RBS_Data!I52</f>
        <v>877</v>
      </c>
      <c r="BA72" s="15" t="s">
        <v>10</v>
      </c>
      <c r="BB72" s="15" t="s">
        <v>140</v>
      </c>
      <c r="BC72" s="36">
        <f>RBS_Data!M52</f>
        <v>745</v>
      </c>
      <c r="BD72" s="36">
        <f>RBS_Data!N52</f>
        <v>897</v>
      </c>
      <c r="BE72" s="36">
        <f>RBS_Data!O52</f>
        <v>1365</v>
      </c>
      <c r="BF72" s="36">
        <f>RBS_Data!P52</f>
        <v>1423</v>
      </c>
      <c r="BG72" s="36">
        <f>RBS_Data!Q52</f>
        <v>1425</v>
      </c>
      <c r="BH72" s="36">
        <f>RBS_Data!R52</f>
        <v>877</v>
      </c>
      <c r="BX72"/>
    </row>
    <row r="73" spans="1:76" ht="14.55" customHeight="1">
      <c r="X73" s="21"/>
      <c r="AR73" s="30" t="s">
        <v>11</v>
      </c>
      <c r="AS73" s="30" t="s">
        <v>141</v>
      </c>
      <c r="AT73" s="57">
        <f>RBS_Data!D53</f>
        <v>1406</v>
      </c>
      <c r="AU73" s="57">
        <f>RBS_Data!E53</f>
        <v>2278</v>
      </c>
      <c r="AV73" s="57">
        <f>RBS_Data!F53</f>
        <v>2881</v>
      </c>
      <c r="AW73" s="57">
        <f>RBS_Data!G53</f>
        <v>2665</v>
      </c>
      <c r="AX73" s="57">
        <f>RBS_Data!H53</f>
        <v>2439</v>
      </c>
      <c r="AY73" s="57">
        <f>RBS_Data!I53</f>
        <v>791</v>
      </c>
      <c r="BA73" s="15" t="s">
        <v>11</v>
      </c>
      <c r="BB73" s="15" t="s">
        <v>141</v>
      </c>
      <c r="BC73" s="36">
        <f>RBS_Data!M53</f>
        <v>638</v>
      </c>
      <c r="BD73" s="36">
        <f>RBS_Data!N53</f>
        <v>1145</v>
      </c>
      <c r="BE73" s="36">
        <f>RBS_Data!O53</f>
        <v>1456</v>
      </c>
      <c r="BF73" s="36">
        <f>RBS_Data!P53</f>
        <v>1433</v>
      </c>
      <c r="BG73" s="36">
        <f>RBS_Data!Q53</f>
        <v>1252</v>
      </c>
      <c r="BH73" s="36">
        <f>RBS_Data!R53</f>
        <v>791</v>
      </c>
      <c r="BX73"/>
    </row>
    <row r="74" spans="1:76" ht="14.55" customHeight="1">
      <c r="X74" s="21"/>
      <c r="AR74" s="30" t="s">
        <v>12</v>
      </c>
      <c r="AS74" s="30" t="s">
        <v>142</v>
      </c>
      <c r="AT74" s="57">
        <f>RBS_Data!D54</f>
        <v>1126</v>
      </c>
      <c r="AU74" s="57">
        <f>RBS_Data!E54</f>
        <v>2275</v>
      </c>
      <c r="AV74" s="57">
        <f>RBS_Data!F54</f>
        <v>2858</v>
      </c>
      <c r="AW74" s="57">
        <f>RBS_Data!G54</f>
        <v>5281</v>
      </c>
      <c r="AX74" s="57">
        <f>RBS_Data!H54</f>
        <v>5492</v>
      </c>
      <c r="AY74" s="57">
        <f>RBS_Data!I54</f>
        <v>2723</v>
      </c>
      <c r="BA74" s="15" t="s">
        <v>12</v>
      </c>
      <c r="BB74" s="15" t="s">
        <v>142</v>
      </c>
      <c r="BC74" s="36">
        <f>RBS_Data!M54</f>
        <v>362</v>
      </c>
      <c r="BD74" s="36">
        <f>RBS_Data!N54</f>
        <v>1257</v>
      </c>
      <c r="BE74" s="36">
        <f>RBS_Data!O54</f>
        <v>1379</v>
      </c>
      <c r="BF74" s="36">
        <f>RBS_Data!P54</f>
        <v>1896</v>
      </c>
      <c r="BG74" s="36">
        <f>RBS_Data!Q54</f>
        <v>2735</v>
      </c>
      <c r="BH74" s="36">
        <f>RBS_Data!R54</f>
        <v>2723</v>
      </c>
      <c r="BX74"/>
    </row>
    <row r="75" spans="1:76" ht="14.25" customHeight="1">
      <c r="X75" s="21"/>
      <c r="AR75" s="30" t="s">
        <v>13</v>
      </c>
      <c r="AS75" s="30" t="s">
        <v>143</v>
      </c>
      <c r="AT75" s="57">
        <f>RBS_Data!D55</f>
        <v>4008</v>
      </c>
      <c r="AU75" s="57">
        <f>RBS_Data!E55</f>
        <v>4714</v>
      </c>
      <c r="AV75" s="57">
        <f>RBS_Data!F55</f>
        <v>6026</v>
      </c>
      <c r="AW75" s="57">
        <f>RBS_Data!G55</f>
        <v>4996</v>
      </c>
      <c r="AX75" s="57">
        <f>RBS_Data!H55</f>
        <v>3914</v>
      </c>
      <c r="AY75" s="57">
        <f>RBS_Data!I55</f>
        <v>913</v>
      </c>
      <c r="BA75" s="15" t="s">
        <v>13</v>
      </c>
      <c r="BB75" s="15" t="s">
        <v>143</v>
      </c>
      <c r="BC75" s="36">
        <f>RBS_Data!M55</f>
        <v>1736</v>
      </c>
      <c r="BD75" s="36">
        <f>RBS_Data!N55</f>
        <v>2373</v>
      </c>
      <c r="BE75" s="36">
        <f>RBS_Data!O55</f>
        <v>3542</v>
      </c>
      <c r="BF75" s="36">
        <f>RBS_Data!P55</f>
        <v>2750</v>
      </c>
      <c r="BG75" s="36">
        <f>RBS_Data!Q55</f>
        <v>2263</v>
      </c>
      <c r="BH75" s="36">
        <f>RBS_Data!R55</f>
        <v>913</v>
      </c>
      <c r="BX75"/>
    </row>
    <row r="76" spans="1:76" ht="14.55" customHeight="1">
      <c r="X76" s="21"/>
      <c r="Y76" s="16"/>
      <c r="AR76" s="30" t="s">
        <v>14</v>
      </c>
      <c r="AS76" s="30" t="s">
        <v>144</v>
      </c>
      <c r="AT76" s="57">
        <f>RBS_Data!D56</f>
        <v>355</v>
      </c>
      <c r="AU76" s="57">
        <f>RBS_Data!E56</f>
        <v>485</v>
      </c>
      <c r="AV76" s="57">
        <f>RBS_Data!F56</f>
        <v>561</v>
      </c>
      <c r="AW76" s="57">
        <f>RBS_Data!G56</f>
        <v>697</v>
      </c>
      <c r="AX76" s="57">
        <f>RBS_Data!H56</f>
        <v>638</v>
      </c>
      <c r="AY76" s="57">
        <f>RBS_Data!I56</f>
        <v>154</v>
      </c>
      <c r="BA76" s="15" t="s">
        <v>14</v>
      </c>
      <c r="BB76" s="15" t="s">
        <v>144</v>
      </c>
      <c r="BC76" s="36">
        <f>RBS_Data!M56</f>
        <v>39</v>
      </c>
      <c r="BD76" s="36">
        <f>RBS_Data!N56</f>
        <v>351</v>
      </c>
      <c r="BE76" s="36">
        <f>RBS_Data!O56</f>
        <v>303</v>
      </c>
      <c r="BF76" s="36">
        <f>RBS_Data!P56</f>
        <v>411</v>
      </c>
      <c r="BG76" s="36">
        <f>RBS_Data!Q56</f>
        <v>366</v>
      </c>
      <c r="BH76" s="36">
        <f>RBS_Data!R56</f>
        <v>154</v>
      </c>
      <c r="BX76"/>
    </row>
    <row r="77" spans="1:76" ht="19.2" customHeight="1">
      <c r="X77" s="21"/>
      <c r="Y77" s="16"/>
      <c r="AR77" s="30" t="s">
        <v>15</v>
      </c>
      <c r="AS77" s="30" t="s">
        <v>145</v>
      </c>
      <c r="AT77" s="57">
        <f>RBS_Data!D57</f>
        <v>779</v>
      </c>
      <c r="AU77" s="57">
        <f>RBS_Data!E57</f>
        <v>532</v>
      </c>
      <c r="AV77" s="57">
        <f>RBS_Data!F57</f>
        <v>462</v>
      </c>
      <c r="AW77" s="57">
        <f>RBS_Data!G57</f>
        <v>504</v>
      </c>
      <c r="AX77" s="57">
        <f>RBS_Data!H57</f>
        <v>667</v>
      </c>
      <c r="AY77" s="57">
        <f>RBS_Data!I57</f>
        <v>169</v>
      </c>
      <c r="BA77" s="15" t="s">
        <v>15</v>
      </c>
      <c r="BB77" s="15" t="s">
        <v>145</v>
      </c>
      <c r="BC77" s="36">
        <f>RBS_Data!M57</f>
        <v>429</v>
      </c>
      <c r="BD77" s="36">
        <f>RBS_Data!N57</f>
        <v>372</v>
      </c>
      <c r="BE77" s="36">
        <f>RBS_Data!O57</f>
        <v>173</v>
      </c>
      <c r="BF77" s="36">
        <f>RBS_Data!P57</f>
        <v>257</v>
      </c>
      <c r="BG77" s="36">
        <f>RBS_Data!Q57</f>
        <v>351</v>
      </c>
      <c r="BH77" s="36">
        <f>RBS_Data!R57</f>
        <v>169</v>
      </c>
      <c r="BX77"/>
    </row>
    <row r="78" spans="1:76" s="10" customFormat="1" ht="14.5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21"/>
      <c r="Y78" s="16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 s="4"/>
      <c r="AR78" s="30" t="s">
        <v>27</v>
      </c>
      <c r="AS78" s="30" t="s">
        <v>29</v>
      </c>
      <c r="AT78" s="57">
        <f>RBS_Data!D58</f>
        <v>57063</v>
      </c>
      <c r="AU78" s="57">
        <f>RBS_Data!E58</f>
        <v>64068</v>
      </c>
      <c r="AV78" s="57">
        <f>RBS_Data!F58</f>
        <v>69902</v>
      </c>
      <c r="AW78" s="57">
        <f>RBS_Data!G58</f>
        <v>74144</v>
      </c>
      <c r="AX78" s="57">
        <f>RBS_Data!H58</f>
        <v>73033</v>
      </c>
      <c r="AY78" s="57">
        <f>RBS_Data!I58</f>
        <v>30738</v>
      </c>
      <c r="AZ78"/>
      <c r="BA78" s="15" t="s">
        <v>27</v>
      </c>
      <c r="BB78" s="14" t="s">
        <v>29</v>
      </c>
      <c r="BC78" s="36">
        <f>RBS_Data!M58</f>
        <v>26193</v>
      </c>
      <c r="BD78" s="36">
        <f>RBS_Data!N58</f>
        <v>33684</v>
      </c>
      <c r="BE78" s="36">
        <f>RBS_Data!O58</f>
        <v>37723</v>
      </c>
      <c r="BF78" s="36">
        <f>RBS_Data!P58</f>
        <v>38782</v>
      </c>
      <c r="BG78" s="36">
        <f>RBS_Data!Q58</f>
        <v>39900</v>
      </c>
      <c r="BH78" s="36">
        <f>RBS_Data!R58</f>
        <v>30738</v>
      </c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X78"/>
    </row>
    <row r="79" spans="1:76" ht="14.55" customHeight="1">
      <c r="X79" s="21"/>
      <c r="Y79" s="16"/>
      <c r="AR79"/>
      <c r="BX79"/>
    </row>
    <row r="80" spans="1:76" ht="14.55" customHeight="1">
      <c r="X80" s="21"/>
      <c r="Y80" s="16"/>
      <c r="AR80"/>
      <c r="BX80"/>
    </row>
    <row r="81" spans="24:76" ht="14.55" customHeight="1">
      <c r="X81" s="21"/>
      <c r="Y81" s="16"/>
      <c r="AR81" s="30" t="s">
        <v>21</v>
      </c>
      <c r="AS81" s="30" t="s">
        <v>20</v>
      </c>
      <c r="AT81" s="30" t="s">
        <v>30</v>
      </c>
      <c r="AU81" s="30" t="s">
        <v>22</v>
      </c>
      <c r="AV81" s="30" t="s">
        <v>39</v>
      </c>
      <c r="AW81" s="30" t="s">
        <v>40</v>
      </c>
      <c r="AX81" s="30" t="s">
        <v>41</v>
      </c>
      <c r="AY81" s="30" t="s">
        <v>42</v>
      </c>
      <c r="AZ81" s="17"/>
      <c r="BA81" s="12" t="s">
        <v>21</v>
      </c>
      <c r="BB81" s="12" t="s">
        <v>20</v>
      </c>
      <c r="BC81" s="12" t="s">
        <v>30</v>
      </c>
      <c r="BD81" s="12" t="s">
        <v>22</v>
      </c>
      <c r="BE81" s="12" t="s">
        <v>39</v>
      </c>
      <c r="BF81" s="12" t="s">
        <v>40</v>
      </c>
      <c r="BG81" s="12" t="s">
        <v>41</v>
      </c>
      <c r="BH81" s="12" t="s">
        <v>42</v>
      </c>
      <c r="BX81"/>
    </row>
    <row r="82" spans="24:76" ht="14.55" customHeight="1">
      <c r="X82" s="21"/>
      <c r="Y82" s="16"/>
      <c r="AR82" s="30" t="s">
        <v>0</v>
      </c>
      <c r="AS82" s="30" t="s">
        <v>131</v>
      </c>
      <c r="AT82" s="57">
        <f>RBS_Data!D62</f>
        <v>2044</v>
      </c>
      <c r="AU82" s="57">
        <f>RBS_Data!E62</f>
        <v>1920</v>
      </c>
      <c r="AV82" s="57">
        <f>RBS_Data!F62</f>
        <v>2009</v>
      </c>
      <c r="AW82" s="57">
        <f>RBS_Data!G62</f>
        <v>2011</v>
      </c>
      <c r="AX82" s="57">
        <f>RBS_Data!H62</f>
        <v>2285</v>
      </c>
      <c r="AY82" s="57">
        <f>RBS_Data!I62</f>
        <v>1516</v>
      </c>
      <c r="BA82" s="15" t="s">
        <v>0</v>
      </c>
      <c r="BB82" s="15" t="s">
        <v>131</v>
      </c>
      <c r="BC82" s="36">
        <f>RBS_Data!M62</f>
        <v>1561</v>
      </c>
      <c r="BD82" s="36">
        <f>RBS_Data!N62</f>
        <v>1480</v>
      </c>
      <c r="BE82" s="36">
        <f>RBS_Data!O62</f>
        <v>1524</v>
      </c>
      <c r="BF82" s="36">
        <f>RBS_Data!P62</f>
        <v>1677</v>
      </c>
      <c r="BG82" s="36">
        <f>RBS_Data!Q62</f>
        <v>1729</v>
      </c>
      <c r="BH82" s="36">
        <f>RBS_Data!R62</f>
        <v>1516</v>
      </c>
      <c r="BX82"/>
    </row>
    <row r="83" spans="24:76" ht="14.55" customHeight="1">
      <c r="X83" s="21"/>
      <c r="Y83" s="16"/>
      <c r="AR83" s="30" t="s">
        <v>1</v>
      </c>
      <c r="AS83" s="30" t="s">
        <v>130</v>
      </c>
      <c r="AT83" s="57">
        <f>RBS_Data!D63</f>
        <v>1466</v>
      </c>
      <c r="AU83" s="57">
        <f>RBS_Data!E63</f>
        <v>2482</v>
      </c>
      <c r="AV83" s="57">
        <f>RBS_Data!F63</f>
        <v>2784</v>
      </c>
      <c r="AW83" s="57">
        <f>RBS_Data!G63</f>
        <v>3194</v>
      </c>
      <c r="AX83" s="57">
        <f>RBS_Data!H63</f>
        <v>4114</v>
      </c>
      <c r="AY83" s="57">
        <f>RBS_Data!I63</f>
        <v>2367</v>
      </c>
      <c r="BA83" s="15" t="s">
        <v>1</v>
      </c>
      <c r="BB83" s="15" t="s">
        <v>130</v>
      </c>
      <c r="BC83" s="36">
        <f>RBS_Data!M63</f>
        <v>903</v>
      </c>
      <c r="BD83" s="36">
        <f>RBS_Data!N63</f>
        <v>1812</v>
      </c>
      <c r="BE83" s="36">
        <f>RBS_Data!O63</f>
        <v>1923</v>
      </c>
      <c r="BF83" s="36">
        <f>RBS_Data!P63</f>
        <v>2148</v>
      </c>
      <c r="BG83" s="36">
        <f>RBS_Data!Q63</f>
        <v>2903</v>
      </c>
      <c r="BH83" s="36">
        <f>RBS_Data!R63</f>
        <v>2367</v>
      </c>
      <c r="BX83"/>
    </row>
    <row r="84" spans="24:76" ht="14.55" customHeight="1">
      <c r="X84" s="21"/>
      <c r="Y84" s="16"/>
      <c r="AR84" s="30" t="s">
        <v>2</v>
      </c>
      <c r="AS84" s="30" t="s">
        <v>132</v>
      </c>
      <c r="AT84" s="57">
        <f>RBS_Data!D64</f>
        <v>1269</v>
      </c>
      <c r="AU84" s="57">
        <f>RBS_Data!E64</f>
        <v>3059</v>
      </c>
      <c r="AV84" s="57">
        <f>RBS_Data!F64</f>
        <v>3404</v>
      </c>
      <c r="AW84" s="57">
        <f>RBS_Data!G64</f>
        <v>3477</v>
      </c>
      <c r="AX84" s="57">
        <f>RBS_Data!H64</f>
        <v>4079</v>
      </c>
      <c r="AY84" s="57">
        <f>RBS_Data!I64</f>
        <v>2130</v>
      </c>
      <c r="BA84" s="15" t="s">
        <v>2</v>
      </c>
      <c r="BB84" s="15" t="s">
        <v>132</v>
      </c>
      <c r="BC84" s="36">
        <f>RBS_Data!M64</f>
        <v>859</v>
      </c>
      <c r="BD84" s="36">
        <f>RBS_Data!N64</f>
        <v>2284</v>
      </c>
      <c r="BE84" s="36">
        <f>RBS_Data!O64</f>
        <v>2965</v>
      </c>
      <c r="BF84" s="36">
        <f>RBS_Data!P64</f>
        <v>2046</v>
      </c>
      <c r="BG84" s="36">
        <f>RBS_Data!Q64</f>
        <v>1963</v>
      </c>
      <c r="BH84" s="36">
        <f>RBS_Data!R64</f>
        <v>2130</v>
      </c>
      <c r="BX84"/>
    </row>
    <row r="85" spans="24:76" ht="14.55" customHeight="1">
      <c r="X85" s="21"/>
      <c r="Y85" s="16"/>
      <c r="AR85" s="30" t="s">
        <v>3</v>
      </c>
      <c r="AS85" s="30" t="s">
        <v>133</v>
      </c>
      <c r="AT85" s="57">
        <f>RBS_Data!D65</f>
        <v>2999</v>
      </c>
      <c r="AU85" s="57">
        <f>RBS_Data!E65</f>
        <v>4952</v>
      </c>
      <c r="AV85" s="57">
        <f>RBS_Data!F65</f>
        <v>1815</v>
      </c>
      <c r="AW85" s="57">
        <f>RBS_Data!G65</f>
        <v>3345</v>
      </c>
      <c r="AX85" s="57">
        <f>RBS_Data!H65</f>
        <v>3108</v>
      </c>
      <c r="AY85" s="57">
        <f>RBS_Data!I65</f>
        <v>1963</v>
      </c>
      <c r="BA85" s="15" t="s">
        <v>3</v>
      </c>
      <c r="BB85" s="15" t="s">
        <v>133</v>
      </c>
      <c r="BC85" s="36">
        <f>RBS_Data!M65</f>
        <v>2183</v>
      </c>
      <c r="BD85" s="36">
        <f>RBS_Data!N65</f>
        <v>4378</v>
      </c>
      <c r="BE85" s="36">
        <f>RBS_Data!O65</f>
        <v>1480</v>
      </c>
      <c r="BF85" s="36">
        <f>RBS_Data!P65</f>
        <v>2499</v>
      </c>
      <c r="BG85" s="36">
        <f>RBS_Data!Q65</f>
        <v>2539</v>
      </c>
      <c r="BH85" s="36">
        <f>RBS_Data!R65</f>
        <v>1963</v>
      </c>
      <c r="BX85"/>
    </row>
    <row r="86" spans="24:76" ht="14.55" customHeight="1">
      <c r="X86" s="21"/>
      <c r="Y86" s="16"/>
      <c r="AR86" s="30" t="s">
        <v>4</v>
      </c>
      <c r="AS86" s="30" t="s">
        <v>134</v>
      </c>
      <c r="AT86" s="57">
        <f>RBS_Data!D66</f>
        <v>5742</v>
      </c>
      <c r="AU86" s="57">
        <f>RBS_Data!E66</f>
        <v>6543</v>
      </c>
      <c r="AV86" s="57">
        <f>RBS_Data!F66</f>
        <v>8291</v>
      </c>
      <c r="AW86" s="57">
        <f>RBS_Data!G66</f>
        <v>9511</v>
      </c>
      <c r="AX86" s="57">
        <f>RBS_Data!H66</f>
        <v>8745</v>
      </c>
      <c r="AY86" s="57">
        <f>RBS_Data!I66</f>
        <v>4196</v>
      </c>
      <c r="BA86" s="15" t="s">
        <v>4</v>
      </c>
      <c r="BB86" s="15" t="s">
        <v>134</v>
      </c>
      <c r="BC86" s="36">
        <f>RBS_Data!M66</f>
        <v>3011</v>
      </c>
      <c r="BD86" s="36">
        <f>RBS_Data!N66</f>
        <v>4272</v>
      </c>
      <c r="BE86" s="36">
        <f>RBS_Data!O66</f>
        <v>5301</v>
      </c>
      <c r="BF86" s="36">
        <f>RBS_Data!P66</f>
        <v>6699</v>
      </c>
      <c r="BG86" s="36">
        <f>RBS_Data!Q66</f>
        <v>5145</v>
      </c>
      <c r="BH86" s="36">
        <f>RBS_Data!R66</f>
        <v>4196</v>
      </c>
      <c r="BX86"/>
    </row>
    <row r="87" spans="24:76" ht="14.55" customHeight="1">
      <c r="X87" s="21"/>
      <c r="Y87" s="16"/>
      <c r="AR87" s="30" t="s">
        <v>5</v>
      </c>
      <c r="AS87" s="30" t="s">
        <v>135</v>
      </c>
      <c r="AT87" s="57">
        <f>RBS_Data!D67</f>
        <v>746</v>
      </c>
      <c r="AU87" s="57">
        <f>RBS_Data!E67</f>
        <v>1220</v>
      </c>
      <c r="AV87" s="57">
        <f>RBS_Data!F67</f>
        <v>1402</v>
      </c>
      <c r="AW87" s="57">
        <f>RBS_Data!G67</f>
        <v>1591</v>
      </c>
      <c r="AX87" s="57">
        <f>RBS_Data!H67</f>
        <v>1660</v>
      </c>
      <c r="AY87" s="57">
        <f>RBS_Data!I67</f>
        <v>1828</v>
      </c>
      <c r="BA87" s="15" t="s">
        <v>5</v>
      </c>
      <c r="BB87" s="15" t="s">
        <v>135</v>
      </c>
      <c r="BC87" s="36">
        <f>RBS_Data!M67</f>
        <v>375</v>
      </c>
      <c r="BD87" s="36">
        <f>RBS_Data!N67</f>
        <v>939</v>
      </c>
      <c r="BE87" s="36">
        <f>RBS_Data!O67</f>
        <v>924</v>
      </c>
      <c r="BF87" s="36">
        <f>RBS_Data!P67</f>
        <v>698</v>
      </c>
      <c r="BG87" s="36">
        <f>RBS_Data!Q67</f>
        <v>913</v>
      </c>
      <c r="BH87" s="36">
        <f>RBS_Data!R67</f>
        <v>1828</v>
      </c>
      <c r="BX87"/>
    </row>
    <row r="88" spans="24:76" ht="14.55" customHeight="1">
      <c r="X88" s="21"/>
      <c r="Y88" s="16"/>
      <c r="AR88" s="30" t="s">
        <v>6</v>
      </c>
      <c r="AS88" s="30" t="s">
        <v>136</v>
      </c>
      <c r="AT88" s="57">
        <f>RBS_Data!D68</f>
        <v>630</v>
      </c>
      <c r="AU88" s="57">
        <f>RBS_Data!E68</f>
        <v>1031</v>
      </c>
      <c r="AV88" s="57">
        <f>RBS_Data!F68</f>
        <v>668</v>
      </c>
      <c r="AW88" s="57">
        <f>RBS_Data!G68</f>
        <v>1222</v>
      </c>
      <c r="AX88" s="57">
        <f>RBS_Data!H68</f>
        <v>1767</v>
      </c>
      <c r="AY88" s="57">
        <f>RBS_Data!I68</f>
        <v>619</v>
      </c>
      <c r="BA88" s="15" t="s">
        <v>6</v>
      </c>
      <c r="BB88" s="15" t="s">
        <v>136</v>
      </c>
      <c r="BC88" s="36">
        <f>RBS_Data!M68</f>
        <v>399</v>
      </c>
      <c r="BD88" s="36">
        <f>RBS_Data!N68</f>
        <v>679</v>
      </c>
      <c r="BE88" s="36">
        <f>RBS_Data!O68</f>
        <v>565</v>
      </c>
      <c r="BF88" s="36">
        <f>RBS_Data!P68</f>
        <v>826</v>
      </c>
      <c r="BG88" s="36">
        <f>RBS_Data!Q68</f>
        <v>1222</v>
      </c>
      <c r="BH88" s="36">
        <f>RBS_Data!R68</f>
        <v>619</v>
      </c>
      <c r="BX88"/>
    </row>
    <row r="89" spans="24:76" ht="14.55" customHeight="1">
      <c r="X89" s="21"/>
      <c r="Y89" s="16"/>
      <c r="AR89" s="30" t="s">
        <v>7</v>
      </c>
      <c r="AS89" s="30" t="s">
        <v>137</v>
      </c>
      <c r="AT89" s="57">
        <f>RBS_Data!D69</f>
        <v>412</v>
      </c>
      <c r="AU89" s="57">
        <f>RBS_Data!E69</f>
        <v>1043</v>
      </c>
      <c r="AV89" s="57">
        <f>RBS_Data!F69</f>
        <v>998</v>
      </c>
      <c r="AW89" s="57">
        <f>RBS_Data!G69</f>
        <v>1612</v>
      </c>
      <c r="AX89" s="57">
        <f>RBS_Data!H69</f>
        <v>1238</v>
      </c>
      <c r="AY89" s="57">
        <f>RBS_Data!I69</f>
        <v>557</v>
      </c>
      <c r="BA89" s="15" t="s">
        <v>7</v>
      </c>
      <c r="BB89" s="15" t="s">
        <v>137</v>
      </c>
      <c r="BC89" s="36">
        <f>RBS_Data!M69</f>
        <v>224</v>
      </c>
      <c r="BD89" s="36">
        <f>RBS_Data!N69</f>
        <v>773</v>
      </c>
      <c r="BE89" s="36">
        <f>RBS_Data!O69</f>
        <v>813</v>
      </c>
      <c r="BF89" s="36">
        <f>RBS_Data!P69</f>
        <v>1187</v>
      </c>
      <c r="BG89" s="36">
        <f>RBS_Data!Q69</f>
        <v>1119</v>
      </c>
      <c r="BH89" s="36">
        <f>RBS_Data!R69</f>
        <v>557</v>
      </c>
      <c r="BX89"/>
    </row>
    <row r="90" spans="24:76" ht="14.55" customHeight="1">
      <c r="X90" s="21"/>
      <c r="Y90" s="16"/>
      <c r="AR90" s="30" t="s">
        <v>8</v>
      </c>
      <c r="AS90" s="30" t="s">
        <v>138</v>
      </c>
      <c r="AT90" s="57">
        <f>RBS_Data!D70</f>
        <v>273</v>
      </c>
      <c r="AU90" s="57">
        <f>RBS_Data!E70</f>
        <v>511</v>
      </c>
      <c r="AV90" s="57">
        <f>RBS_Data!F70</f>
        <v>732</v>
      </c>
      <c r="AW90" s="57">
        <f>RBS_Data!G70</f>
        <v>864</v>
      </c>
      <c r="AX90" s="57">
        <f>RBS_Data!H70</f>
        <v>1094</v>
      </c>
      <c r="AY90" s="57">
        <f>RBS_Data!I70</f>
        <v>1029</v>
      </c>
      <c r="BA90" s="15" t="s">
        <v>8</v>
      </c>
      <c r="BB90" s="15" t="s">
        <v>138</v>
      </c>
      <c r="BC90" s="36">
        <f>RBS_Data!M70</f>
        <v>91</v>
      </c>
      <c r="BD90" s="36">
        <f>RBS_Data!N70</f>
        <v>236</v>
      </c>
      <c r="BE90" s="36">
        <f>RBS_Data!O70</f>
        <v>609</v>
      </c>
      <c r="BF90" s="36">
        <f>RBS_Data!P70</f>
        <v>479</v>
      </c>
      <c r="BG90" s="36">
        <f>RBS_Data!Q70</f>
        <v>942</v>
      </c>
      <c r="BH90" s="36">
        <f>RBS_Data!R70</f>
        <v>1029</v>
      </c>
      <c r="BX90"/>
    </row>
    <row r="91" spans="24:76" ht="14.55" customHeight="1">
      <c r="X91" s="21"/>
      <c r="Y91" s="16"/>
      <c r="AR91" s="30" t="s">
        <v>9</v>
      </c>
      <c r="AS91" s="30" t="s">
        <v>139</v>
      </c>
      <c r="AT91" s="57">
        <f>RBS_Data!D71</f>
        <v>505</v>
      </c>
      <c r="AU91" s="57">
        <f>RBS_Data!E71</f>
        <v>679</v>
      </c>
      <c r="AV91" s="57">
        <f>RBS_Data!F71</f>
        <v>962</v>
      </c>
      <c r="AW91" s="57">
        <f>RBS_Data!G71</f>
        <v>1687</v>
      </c>
      <c r="AX91" s="57">
        <f>RBS_Data!H71</f>
        <v>2049</v>
      </c>
      <c r="AY91" s="57">
        <f>RBS_Data!I71</f>
        <v>506</v>
      </c>
      <c r="BA91" s="15" t="s">
        <v>9</v>
      </c>
      <c r="BB91" s="15" t="s">
        <v>139</v>
      </c>
      <c r="BC91" s="36">
        <f>RBS_Data!M71</f>
        <v>333</v>
      </c>
      <c r="BD91" s="36">
        <f>RBS_Data!N71</f>
        <v>442</v>
      </c>
      <c r="BE91" s="36">
        <f>RBS_Data!O71</f>
        <v>735</v>
      </c>
      <c r="BF91" s="36">
        <f>RBS_Data!P71</f>
        <v>1174</v>
      </c>
      <c r="BG91" s="36">
        <f>RBS_Data!Q71</f>
        <v>1820</v>
      </c>
      <c r="BH91" s="36">
        <f>RBS_Data!R71</f>
        <v>506</v>
      </c>
      <c r="BX91"/>
    </row>
    <row r="92" spans="24:76" ht="14.55" customHeight="1">
      <c r="X92" s="21"/>
      <c r="Y92" s="16"/>
      <c r="AR92" s="30" t="s">
        <v>10</v>
      </c>
      <c r="AS92" s="30" t="s">
        <v>140</v>
      </c>
      <c r="AT92" s="57">
        <f>RBS_Data!D72</f>
        <v>874</v>
      </c>
      <c r="AU92" s="57">
        <f>RBS_Data!E72</f>
        <v>1068</v>
      </c>
      <c r="AV92" s="57">
        <f>RBS_Data!F72</f>
        <v>1578</v>
      </c>
      <c r="AW92" s="57">
        <f>RBS_Data!G72</f>
        <v>733</v>
      </c>
      <c r="AX92" s="57">
        <f>RBS_Data!H72</f>
        <v>1329</v>
      </c>
      <c r="AY92" s="57">
        <f>RBS_Data!I72</f>
        <v>443</v>
      </c>
      <c r="BA92" s="15" t="s">
        <v>10</v>
      </c>
      <c r="BB92" s="15" t="s">
        <v>140</v>
      </c>
      <c r="BC92" s="36">
        <f>RBS_Data!M72</f>
        <v>538</v>
      </c>
      <c r="BD92" s="36">
        <f>RBS_Data!N72</f>
        <v>937</v>
      </c>
      <c r="BE92" s="36">
        <f>RBS_Data!O72</f>
        <v>1388</v>
      </c>
      <c r="BF92" s="36">
        <f>RBS_Data!P72</f>
        <v>534</v>
      </c>
      <c r="BG92" s="36">
        <f>RBS_Data!Q72</f>
        <v>1099</v>
      </c>
      <c r="BH92" s="36">
        <f>RBS_Data!R72</f>
        <v>443</v>
      </c>
      <c r="BX92"/>
    </row>
    <row r="93" spans="24:76" ht="14.55" customHeight="1">
      <c r="X93" s="21"/>
      <c r="Y93" s="16"/>
      <c r="AR93" s="30" t="s">
        <v>11</v>
      </c>
      <c r="AS93" s="30" t="s">
        <v>141</v>
      </c>
      <c r="AT93" s="57">
        <f>RBS_Data!D73</f>
        <v>346</v>
      </c>
      <c r="AU93" s="57">
        <f>RBS_Data!E73</f>
        <v>479</v>
      </c>
      <c r="AV93" s="57">
        <f>RBS_Data!F73</f>
        <v>2562</v>
      </c>
      <c r="AW93" s="57">
        <f>RBS_Data!G73</f>
        <v>3571</v>
      </c>
      <c r="AX93" s="57">
        <f>RBS_Data!H73</f>
        <v>2486</v>
      </c>
      <c r="AY93" s="57">
        <f>RBS_Data!I73</f>
        <v>1699</v>
      </c>
      <c r="BA93" s="15" t="s">
        <v>11</v>
      </c>
      <c r="BB93" s="15" t="s">
        <v>141</v>
      </c>
      <c r="BC93" s="36">
        <f>RBS_Data!M73</f>
        <v>152</v>
      </c>
      <c r="BD93" s="36">
        <f>RBS_Data!N73</f>
        <v>139</v>
      </c>
      <c r="BE93" s="36">
        <f>RBS_Data!O73</f>
        <v>2054</v>
      </c>
      <c r="BF93" s="36">
        <f>RBS_Data!P73</f>
        <v>3247</v>
      </c>
      <c r="BG93" s="36">
        <f>RBS_Data!Q73</f>
        <v>2232</v>
      </c>
      <c r="BH93" s="36">
        <f>RBS_Data!R73</f>
        <v>1699</v>
      </c>
      <c r="BX93"/>
    </row>
    <row r="94" spans="24:76" ht="14.55" customHeight="1">
      <c r="X94" s="21"/>
      <c r="Y94" s="16"/>
      <c r="AR94" s="30" t="s">
        <v>12</v>
      </c>
      <c r="AS94" s="30" t="s">
        <v>142</v>
      </c>
      <c r="AT94" s="57">
        <f>RBS_Data!D74</f>
        <v>403</v>
      </c>
      <c r="AU94" s="57">
        <f>RBS_Data!E74</f>
        <v>770</v>
      </c>
      <c r="AV94" s="57">
        <f>RBS_Data!F74</f>
        <v>871</v>
      </c>
      <c r="AW94" s="57">
        <f>RBS_Data!G74</f>
        <v>872</v>
      </c>
      <c r="AX94" s="57">
        <f>RBS_Data!H74</f>
        <v>1070</v>
      </c>
      <c r="AY94" s="57">
        <f>RBS_Data!I74</f>
        <v>483</v>
      </c>
      <c r="BA94" s="15" t="s">
        <v>12</v>
      </c>
      <c r="BB94" s="15" t="s">
        <v>142</v>
      </c>
      <c r="BC94" s="36">
        <f>RBS_Data!M74</f>
        <v>232</v>
      </c>
      <c r="BD94" s="36">
        <f>RBS_Data!N74</f>
        <v>428</v>
      </c>
      <c r="BE94" s="36">
        <f>RBS_Data!O74</f>
        <v>554</v>
      </c>
      <c r="BF94" s="36">
        <f>RBS_Data!P74</f>
        <v>594</v>
      </c>
      <c r="BG94" s="36">
        <f>RBS_Data!Q74</f>
        <v>574</v>
      </c>
      <c r="BH94" s="36">
        <f>RBS_Data!R74</f>
        <v>483</v>
      </c>
      <c r="BX94"/>
    </row>
    <row r="95" spans="24:76" ht="14.55" customHeight="1">
      <c r="X95" s="21"/>
      <c r="Y95" s="16"/>
      <c r="AR95" s="30" t="s">
        <v>13</v>
      </c>
      <c r="AS95" s="30" t="s">
        <v>143</v>
      </c>
      <c r="AT95" s="57">
        <f>RBS_Data!D75</f>
        <v>551</v>
      </c>
      <c r="AU95" s="57">
        <f>RBS_Data!E75</f>
        <v>732</v>
      </c>
      <c r="AV95" s="57">
        <f>RBS_Data!F75</f>
        <v>1056</v>
      </c>
      <c r="AW95" s="57">
        <f>RBS_Data!G75</f>
        <v>1260</v>
      </c>
      <c r="AX95" s="57">
        <f>RBS_Data!H75</f>
        <v>1416</v>
      </c>
      <c r="AY95" s="57">
        <f>RBS_Data!I75</f>
        <v>412</v>
      </c>
      <c r="BA95" s="15" t="s">
        <v>13</v>
      </c>
      <c r="BB95" s="15" t="s">
        <v>143</v>
      </c>
      <c r="BC95" s="36">
        <f>RBS_Data!M75</f>
        <v>273</v>
      </c>
      <c r="BD95" s="36">
        <f>RBS_Data!N75</f>
        <v>521</v>
      </c>
      <c r="BE95" s="36">
        <f>RBS_Data!O75</f>
        <v>850</v>
      </c>
      <c r="BF95" s="36">
        <f>RBS_Data!P75</f>
        <v>1091</v>
      </c>
      <c r="BG95" s="36">
        <f>RBS_Data!Q75</f>
        <v>1215</v>
      </c>
      <c r="BH95" s="36">
        <f>RBS_Data!R75</f>
        <v>412</v>
      </c>
      <c r="BX95"/>
    </row>
    <row r="96" spans="24:76" ht="14.55" customHeight="1">
      <c r="X96" s="21"/>
      <c r="Y96" s="16"/>
      <c r="AR96" s="30" t="s">
        <v>14</v>
      </c>
      <c r="AS96" s="30" t="s">
        <v>144</v>
      </c>
      <c r="AT96" s="57">
        <f>RBS_Data!D76</f>
        <v>38</v>
      </c>
      <c r="AU96" s="57">
        <f>RBS_Data!E76</f>
        <v>178</v>
      </c>
      <c r="AV96" s="57">
        <f>RBS_Data!F76</f>
        <v>491</v>
      </c>
      <c r="AW96" s="57">
        <f>RBS_Data!G76</f>
        <v>375</v>
      </c>
      <c r="AX96" s="57">
        <f>RBS_Data!H76</f>
        <v>488</v>
      </c>
      <c r="AY96" s="57">
        <f>RBS_Data!I76</f>
        <v>213</v>
      </c>
      <c r="BA96" s="15" t="s">
        <v>14</v>
      </c>
      <c r="BB96" s="15" t="s">
        <v>144</v>
      </c>
      <c r="BC96" s="36">
        <f>RBS_Data!M76</f>
        <v>14</v>
      </c>
      <c r="BD96" s="36">
        <f>RBS_Data!N76</f>
        <v>40</v>
      </c>
      <c r="BE96" s="36">
        <f>RBS_Data!O76</f>
        <v>278</v>
      </c>
      <c r="BF96" s="36">
        <f>RBS_Data!P76</f>
        <v>211</v>
      </c>
      <c r="BG96" s="36">
        <f>RBS_Data!Q76</f>
        <v>293</v>
      </c>
      <c r="BH96" s="36">
        <f>RBS_Data!R76</f>
        <v>213</v>
      </c>
      <c r="BX96"/>
    </row>
    <row r="97" spans="1:93" ht="14.55" customHeight="1">
      <c r="X97" s="21"/>
      <c r="Y97" s="16"/>
      <c r="AR97" s="30" t="s">
        <v>15</v>
      </c>
      <c r="AS97" s="30" t="s">
        <v>145</v>
      </c>
      <c r="AT97" s="57">
        <f>RBS_Data!D77</f>
        <v>141</v>
      </c>
      <c r="AU97" s="57">
        <f>RBS_Data!E77</f>
        <v>570</v>
      </c>
      <c r="AV97" s="57">
        <f>RBS_Data!F77</f>
        <v>1550</v>
      </c>
      <c r="AW97" s="57">
        <f>RBS_Data!G77</f>
        <v>1384</v>
      </c>
      <c r="AX97" s="57">
        <f>RBS_Data!H77</f>
        <v>327</v>
      </c>
      <c r="AY97" s="57">
        <f>RBS_Data!I77</f>
        <v>43</v>
      </c>
      <c r="BA97" s="15" t="s">
        <v>15</v>
      </c>
      <c r="BB97" s="15" t="s">
        <v>145</v>
      </c>
      <c r="BC97" s="36">
        <f>RBS_Data!M77</f>
        <v>89</v>
      </c>
      <c r="BD97" s="36">
        <f>RBS_Data!N77</f>
        <v>357</v>
      </c>
      <c r="BE97" s="36">
        <f>RBS_Data!O77</f>
        <v>1234</v>
      </c>
      <c r="BF97" s="36">
        <f>RBS_Data!P77</f>
        <v>927</v>
      </c>
      <c r="BG97" s="36">
        <f>RBS_Data!Q77</f>
        <v>269</v>
      </c>
      <c r="BH97" s="36">
        <f>RBS_Data!R77</f>
        <v>43</v>
      </c>
      <c r="BX97"/>
    </row>
    <row r="98" spans="1:93" ht="14.55" customHeight="1">
      <c r="X98" s="21"/>
      <c r="Y98" s="16"/>
      <c r="AR98" s="30" t="s">
        <v>27</v>
      </c>
      <c r="AS98" s="30" t="s">
        <v>29</v>
      </c>
      <c r="AT98" s="57">
        <f>RBS_Data!D78</f>
        <v>18439</v>
      </c>
      <c r="AU98" s="57">
        <f>RBS_Data!E78</f>
        <v>27237</v>
      </c>
      <c r="AV98" s="57">
        <f>RBS_Data!F78</f>
        <v>31173</v>
      </c>
      <c r="AW98" s="57">
        <f>RBS_Data!G78</f>
        <v>36709</v>
      </c>
      <c r="AX98" s="57">
        <f>RBS_Data!H78</f>
        <v>37255</v>
      </c>
      <c r="AY98" s="57">
        <f>RBS_Data!I78</f>
        <v>20004</v>
      </c>
      <c r="BA98" s="15" t="s">
        <v>27</v>
      </c>
      <c r="BB98" s="14" t="s">
        <v>29</v>
      </c>
      <c r="BC98" s="36">
        <f>RBS_Data!M78</f>
        <v>11237</v>
      </c>
      <c r="BD98" s="36">
        <f>RBS_Data!N78</f>
        <v>19717</v>
      </c>
      <c r="BE98" s="36">
        <f>RBS_Data!O78</f>
        <v>23197</v>
      </c>
      <c r="BF98" s="36">
        <f>RBS_Data!P78</f>
        <v>26037</v>
      </c>
      <c r="BG98" s="36">
        <f>RBS_Data!Q78</f>
        <v>25977</v>
      </c>
      <c r="BH98" s="36">
        <f>RBS_Data!R78</f>
        <v>20004</v>
      </c>
      <c r="BX98"/>
    </row>
    <row r="99" spans="1:93" ht="14.55" customHeight="1">
      <c r="X99" s="21"/>
      <c r="Y99" s="16"/>
      <c r="AR99"/>
      <c r="AZ99" s="10"/>
      <c r="BA99" s="10"/>
      <c r="BX99"/>
    </row>
    <row r="100" spans="1:93" ht="14.55" customHeight="1">
      <c r="X100" s="21"/>
      <c r="Y100" s="16"/>
      <c r="AR100"/>
      <c r="BX100"/>
    </row>
    <row r="101" spans="1:93" ht="14.55" customHeight="1">
      <c r="X101" s="21"/>
      <c r="Y101" s="16"/>
      <c r="AR101"/>
      <c r="BX101"/>
    </row>
    <row r="102" spans="1:93" ht="19.2" customHeight="1">
      <c r="X102" s="21"/>
      <c r="Y102" s="16"/>
      <c r="AR102"/>
      <c r="BX102"/>
    </row>
    <row r="103" spans="1:93" s="10" customFormat="1" ht="14.5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21"/>
      <c r="Y103" s="16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 s="4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</row>
    <row r="104" spans="1:93" ht="14.55" customHeight="1">
      <c r="X104" s="21"/>
      <c r="Y104" s="16"/>
      <c r="AR104"/>
      <c r="BX104"/>
    </row>
    <row r="105" spans="1:93" ht="14.55" customHeight="1">
      <c r="X105" s="21"/>
      <c r="Y105" s="16"/>
      <c r="AR105"/>
      <c r="BX105"/>
    </row>
    <row r="106" spans="1:93" ht="14.55" customHeight="1">
      <c r="X106" s="21"/>
      <c r="Y106" s="16"/>
      <c r="AR106"/>
      <c r="BX106"/>
    </row>
    <row r="107" spans="1:93" ht="14.55" customHeight="1">
      <c r="X107" s="21"/>
      <c r="Y107" s="16"/>
      <c r="AR107"/>
      <c r="BX107"/>
    </row>
    <row r="108" spans="1:93" ht="14.55" customHeight="1">
      <c r="X108" s="21"/>
      <c r="Y108" s="16"/>
      <c r="AR108"/>
      <c r="BX108"/>
    </row>
    <row r="109" spans="1:93" ht="14.55" customHeight="1">
      <c r="X109" s="21"/>
      <c r="Y109" s="16"/>
      <c r="AR109"/>
      <c r="BX109"/>
    </row>
    <row r="110" spans="1:93" ht="14.55" customHeight="1">
      <c r="X110" s="21"/>
      <c r="Y110" s="16"/>
      <c r="AR110"/>
      <c r="BX110"/>
    </row>
    <row r="111" spans="1:93" ht="14.55" customHeight="1">
      <c r="X111" s="21"/>
      <c r="Y111" s="16"/>
      <c r="AR111"/>
      <c r="BX111"/>
    </row>
    <row r="112" spans="1:93" ht="14.55" customHeight="1">
      <c r="X112" s="21"/>
      <c r="Y112" s="16"/>
      <c r="AR112"/>
      <c r="BX112"/>
    </row>
    <row r="113" spans="24:76" ht="14.55" customHeight="1">
      <c r="X113" s="21"/>
      <c r="Y113" s="16"/>
      <c r="AR113"/>
      <c r="BX113"/>
    </row>
    <row r="114" spans="24:76" ht="14.55" customHeight="1">
      <c r="X114" s="21"/>
      <c r="Y114" s="16"/>
      <c r="AR114"/>
      <c r="BX114"/>
    </row>
    <row r="115" spans="24:76" ht="14.55" customHeight="1">
      <c r="X115" s="21"/>
      <c r="Y115" s="16"/>
      <c r="AR115"/>
      <c r="BX115"/>
    </row>
    <row r="116" spans="24:76" ht="14.55" customHeight="1">
      <c r="X116" s="21"/>
      <c r="Y116" s="16"/>
      <c r="AR116"/>
      <c r="BX116"/>
    </row>
    <row r="117" spans="24:76" ht="14.55" customHeight="1">
      <c r="X117" s="21"/>
      <c r="Y117" s="16"/>
      <c r="AR117"/>
      <c r="BX117"/>
    </row>
    <row r="118" spans="24:76" ht="14.55" customHeight="1">
      <c r="X118" s="21"/>
      <c r="Y118" s="16"/>
      <c r="AR118"/>
      <c r="BX118"/>
    </row>
    <row r="119" spans="24:76" ht="14.55" customHeight="1">
      <c r="X119" s="21"/>
      <c r="Y119" s="16"/>
      <c r="AR119"/>
      <c r="BX119"/>
    </row>
    <row r="120" spans="24:76" ht="14.55" customHeight="1">
      <c r="X120" s="21"/>
      <c r="Y120" s="16"/>
      <c r="AR120"/>
      <c r="BX120"/>
    </row>
    <row r="121" spans="24:76" ht="14.55" customHeight="1">
      <c r="X121" s="21"/>
      <c r="Y121" s="16"/>
      <c r="AR121"/>
      <c r="BX121"/>
    </row>
    <row r="122" spans="24:76" ht="14.55" customHeight="1">
      <c r="X122" s="21"/>
      <c r="Y122" s="16"/>
      <c r="AR122"/>
      <c r="BX122"/>
    </row>
    <row r="123" spans="24:76" ht="14.55" customHeight="1">
      <c r="X123" s="21"/>
      <c r="Y123" s="16"/>
      <c r="AR123"/>
      <c r="BX123"/>
    </row>
    <row r="124" spans="24:76" ht="14.55" customHeight="1">
      <c r="X124" s="21"/>
      <c r="Y124" s="16"/>
      <c r="AR124"/>
      <c r="AZ124" s="10"/>
      <c r="BA124" s="10"/>
      <c r="BX124"/>
    </row>
    <row r="125" spans="24:76" ht="14.55" customHeight="1">
      <c r="X125" s="21"/>
      <c r="Y125" s="16"/>
      <c r="AR125"/>
      <c r="BX125"/>
    </row>
    <row r="126" spans="24:76" ht="14.55" customHeight="1">
      <c r="X126" s="21"/>
      <c r="Y126" s="16"/>
      <c r="AR126"/>
      <c r="BX126"/>
    </row>
    <row r="127" spans="24:76" ht="19.2" customHeight="1">
      <c r="X127" s="21"/>
      <c r="Y127" s="16"/>
      <c r="AR127"/>
      <c r="BX127"/>
    </row>
    <row r="128" spans="24:76" ht="14.55" customHeight="1">
      <c r="X128" s="21"/>
      <c r="Y128" s="16"/>
      <c r="AR128"/>
      <c r="BX128"/>
    </row>
    <row r="129" spans="1:93" s="10" customFormat="1" ht="14.5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21"/>
      <c r="Y129" s="16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 s="4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X129"/>
      <c r="BY129"/>
      <c r="BZ129"/>
      <c r="CA129"/>
      <c r="CB129"/>
      <c r="CC129"/>
      <c r="CD129"/>
      <c r="CE129"/>
      <c r="CF129"/>
      <c r="CG129"/>
      <c r="CH129"/>
      <c r="CI129"/>
      <c r="CJ129"/>
      <c r="CK129"/>
      <c r="CL129"/>
      <c r="CM129"/>
      <c r="CN129"/>
      <c r="CO129"/>
    </row>
    <row r="130" spans="1:93" ht="14.55" customHeight="1">
      <c r="X130" s="21"/>
      <c r="Y130" s="16"/>
      <c r="AR130"/>
      <c r="BX130"/>
    </row>
    <row r="131" spans="1:93" ht="14.55" customHeight="1">
      <c r="X131" s="21"/>
      <c r="Y131" s="16"/>
      <c r="AR131"/>
      <c r="BX131"/>
    </row>
    <row r="132" spans="1:93" ht="14.55" customHeight="1">
      <c r="X132" s="21"/>
      <c r="Y132" s="16"/>
      <c r="AR132"/>
      <c r="BX132"/>
    </row>
    <row r="133" spans="1:93" ht="14.55" customHeight="1">
      <c r="X133" s="21"/>
      <c r="Y133" s="16"/>
      <c r="AR133"/>
      <c r="BX133"/>
    </row>
    <row r="134" spans="1:93" ht="14.55" customHeight="1">
      <c r="X134" s="21"/>
      <c r="Y134" s="16"/>
      <c r="AR134"/>
      <c r="BX134"/>
    </row>
    <row r="135" spans="1:93" ht="14.55" customHeight="1">
      <c r="X135" s="21"/>
      <c r="Y135" s="16"/>
      <c r="AR135"/>
      <c r="BX135"/>
    </row>
    <row r="136" spans="1:93" ht="14.55" customHeight="1">
      <c r="X136" s="21"/>
      <c r="Y136" s="16"/>
      <c r="AR136"/>
      <c r="BX136"/>
    </row>
    <row r="137" spans="1:93" ht="14.55" customHeight="1">
      <c r="X137" s="21"/>
      <c r="Y137" s="16"/>
      <c r="AR137"/>
      <c r="BX137"/>
    </row>
    <row r="138" spans="1:93" ht="14.55" customHeight="1">
      <c r="X138" s="21"/>
      <c r="Y138" s="16"/>
      <c r="AR138"/>
      <c r="BX138"/>
    </row>
    <row r="139" spans="1:93" ht="14.55" customHeight="1">
      <c r="X139" s="21"/>
      <c r="Y139" s="16"/>
      <c r="AR139"/>
      <c r="BX139"/>
    </row>
    <row r="140" spans="1:93" ht="14.55" customHeight="1">
      <c r="X140" s="21"/>
      <c r="Y140" s="16"/>
      <c r="AR140"/>
      <c r="BX140"/>
    </row>
    <row r="141" spans="1:93" ht="14.55" customHeight="1">
      <c r="X141" s="21"/>
      <c r="Y141" s="16"/>
      <c r="AR141"/>
      <c r="BX141"/>
    </row>
    <row r="142" spans="1:93" ht="14.55" customHeight="1">
      <c r="X142" s="21"/>
      <c r="Y142" s="16"/>
      <c r="AR142"/>
      <c r="BX142"/>
    </row>
    <row r="143" spans="1:93" ht="14.55" customHeight="1">
      <c r="X143" s="21"/>
      <c r="Y143" s="16"/>
      <c r="AR143"/>
      <c r="BX143"/>
    </row>
    <row r="144" spans="1:93" ht="14.55" customHeight="1">
      <c r="X144" s="21"/>
      <c r="Y144" s="16"/>
      <c r="AR144"/>
      <c r="BX144"/>
    </row>
    <row r="145" spans="24:76" ht="14.55" customHeight="1">
      <c r="X145" s="21"/>
      <c r="Y145" s="16"/>
      <c r="AR145"/>
      <c r="BX145"/>
    </row>
    <row r="146" spans="24:76" ht="14.55" customHeight="1">
      <c r="X146" s="21"/>
      <c r="Y146" s="16"/>
      <c r="AR146"/>
      <c r="BX146"/>
    </row>
    <row r="147" spans="24:76" ht="14.55" customHeight="1">
      <c r="X147" s="21"/>
      <c r="Y147" s="16"/>
      <c r="AR147"/>
      <c r="BX147"/>
    </row>
    <row r="148" spans="24:76" ht="14.55" customHeight="1">
      <c r="X148" s="21"/>
      <c r="Y148" s="16"/>
      <c r="AR148"/>
      <c r="BX148"/>
    </row>
    <row r="149" spans="24:76" ht="14.55" customHeight="1">
      <c r="X149" s="21"/>
      <c r="Y149" s="16"/>
      <c r="AR149"/>
      <c r="BX149"/>
    </row>
    <row r="150" spans="24:76" ht="14.55" customHeight="1">
      <c r="X150" s="21"/>
      <c r="Y150" s="16"/>
      <c r="AR150"/>
      <c r="AZ150" s="10"/>
      <c r="BA150" s="10"/>
      <c r="BX150"/>
    </row>
    <row r="151" spans="24:76" ht="14.55" customHeight="1">
      <c r="X151" s="21"/>
      <c r="Y151" s="16"/>
      <c r="AR151"/>
      <c r="BX151"/>
    </row>
    <row r="152" spans="24:76" ht="19.2" customHeight="1">
      <c r="X152" s="21"/>
      <c r="Y152" s="16"/>
      <c r="AR152"/>
      <c r="BX152"/>
    </row>
    <row r="153" spans="24:76" ht="14.55" customHeight="1">
      <c r="X153" s="21"/>
      <c r="Y153" s="16"/>
      <c r="AR153"/>
      <c r="BX153"/>
    </row>
    <row r="154" spans="24:76" ht="14.55" customHeight="1">
      <c r="X154" s="21"/>
      <c r="Y154" s="16"/>
      <c r="AR154"/>
      <c r="BX154"/>
    </row>
    <row r="155" spans="24:76" ht="14.55" customHeight="1">
      <c r="X155" s="21"/>
      <c r="Y155" s="16"/>
      <c r="AR155"/>
      <c r="BX155"/>
    </row>
    <row r="156" spans="24:76" ht="14.55" customHeight="1">
      <c r="X156" s="21"/>
      <c r="Y156" s="16"/>
      <c r="AR156"/>
      <c r="BX156"/>
    </row>
    <row r="157" spans="24:76" ht="14.55" customHeight="1">
      <c r="X157" s="21"/>
      <c r="Y157" s="16"/>
      <c r="AR157"/>
      <c r="BX157"/>
    </row>
    <row r="158" spans="24:76" ht="14.55" customHeight="1">
      <c r="X158" s="21"/>
      <c r="Y158" s="16"/>
      <c r="AR158"/>
      <c r="BX158"/>
    </row>
    <row r="159" spans="24:76" ht="14.55" customHeight="1">
      <c r="X159" s="21"/>
      <c r="Y159" s="16"/>
      <c r="AR159"/>
      <c r="BX159"/>
    </row>
    <row r="160" spans="24:76" ht="14.55" customHeight="1">
      <c r="X160" s="21"/>
      <c r="Y160" s="16"/>
      <c r="AR160"/>
      <c r="BX160"/>
    </row>
    <row r="161" spans="24:76" ht="14.55" customHeight="1">
      <c r="X161" s="21"/>
      <c r="Y161" s="16"/>
      <c r="AR161"/>
      <c r="BX161"/>
    </row>
    <row r="162" spans="24:76" ht="14.55" customHeight="1">
      <c r="X162" s="21"/>
      <c r="Y162" s="16"/>
      <c r="AR162"/>
      <c r="BX162"/>
    </row>
    <row r="163" spans="24:76" ht="14.55" customHeight="1">
      <c r="X163" s="21"/>
      <c r="Y163" s="16"/>
      <c r="AR163"/>
      <c r="BX163"/>
    </row>
    <row r="164" spans="24:76" ht="14.55" customHeight="1">
      <c r="X164" s="21"/>
      <c r="Y164" s="16"/>
      <c r="AR164"/>
      <c r="BX164"/>
    </row>
    <row r="165" spans="24:76" ht="14.55" customHeight="1">
      <c r="X165" s="21"/>
      <c r="Y165" s="16"/>
      <c r="AR165"/>
      <c r="BX165"/>
    </row>
    <row r="166" spans="24:76" ht="14.55" customHeight="1">
      <c r="X166" s="21"/>
      <c r="Y166" s="16"/>
      <c r="AR166"/>
      <c r="BX166"/>
    </row>
    <row r="167" spans="24:76" ht="14.55" customHeight="1">
      <c r="X167" s="21"/>
      <c r="Y167" s="16"/>
      <c r="AR167"/>
      <c r="BX167"/>
    </row>
    <row r="168" spans="24:76" ht="14.55" customHeight="1">
      <c r="X168" s="21"/>
      <c r="Y168" s="16"/>
      <c r="AR168"/>
      <c r="BX168"/>
    </row>
    <row r="169" spans="24:76" ht="14.55" customHeight="1">
      <c r="X169" s="21"/>
      <c r="Y169" s="16"/>
      <c r="AR169"/>
      <c r="BX169"/>
    </row>
    <row r="170" spans="24:76" ht="14.55" customHeight="1">
      <c r="X170" s="21"/>
      <c r="Y170" s="16"/>
      <c r="AR170"/>
      <c r="BX170"/>
    </row>
    <row r="171" spans="24:76" ht="14.55" customHeight="1">
      <c r="X171" s="21"/>
      <c r="Y171" s="16"/>
      <c r="AR171"/>
      <c r="BX171"/>
    </row>
    <row r="172" spans="24:76" ht="14.55" customHeight="1">
      <c r="X172" s="21"/>
      <c r="Y172" s="16"/>
      <c r="AR172"/>
      <c r="BX172"/>
    </row>
    <row r="173" spans="24:76" ht="14.55" customHeight="1">
      <c r="X173" s="21"/>
      <c r="Y173" s="16"/>
      <c r="AR173"/>
      <c r="BX173"/>
    </row>
    <row r="174" spans="24:76" ht="14.55" customHeight="1">
      <c r="X174" s="21"/>
      <c r="Y174" s="16"/>
      <c r="AR174"/>
      <c r="BX174"/>
    </row>
    <row r="175" spans="24:76" ht="14.25" customHeight="1">
      <c r="X175" s="21"/>
      <c r="Y175" s="16"/>
      <c r="AR175"/>
      <c r="BX175"/>
    </row>
    <row r="176" spans="24:76" ht="14.55" customHeight="1">
      <c r="X176" s="21"/>
      <c r="Y176" s="16"/>
      <c r="AR176"/>
      <c r="BX176"/>
    </row>
    <row r="177" spans="24:76" ht="19.2" customHeight="1">
      <c r="X177" s="21"/>
      <c r="Y177" s="16"/>
      <c r="AR177"/>
      <c r="BX177"/>
    </row>
    <row r="178" spans="24:76" ht="14.55" customHeight="1">
      <c r="X178" s="21"/>
      <c r="Y178" s="16"/>
      <c r="AR178"/>
      <c r="BX178"/>
    </row>
    <row r="179" spans="24:76" ht="14.55" customHeight="1">
      <c r="X179" s="21"/>
      <c r="Y179" s="16"/>
      <c r="AR179"/>
      <c r="BX179"/>
    </row>
    <row r="180" spans="24:76" ht="14.55" customHeight="1">
      <c r="X180" s="21"/>
      <c r="Y180" s="16"/>
      <c r="AR180"/>
      <c r="BX180"/>
    </row>
    <row r="181" spans="24:76" ht="14.55" customHeight="1">
      <c r="X181" s="21"/>
      <c r="Y181" s="16"/>
      <c r="AR181"/>
      <c r="BX181"/>
    </row>
    <row r="182" spans="24:76" ht="14.55" customHeight="1">
      <c r="X182" s="21"/>
      <c r="Y182" s="16"/>
      <c r="AR182"/>
      <c r="BX182"/>
    </row>
    <row r="183" spans="24:76" ht="14.55" customHeight="1">
      <c r="X183" s="21"/>
      <c r="Y183" s="16"/>
      <c r="AR183"/>
      <c r="BX183"/>
    </row>
    <row r="184" spans="24:76" ht="14.55" customHeight="1">
      <c r="X184" s="21"/>
      <c r="Y184" s="16"/>
      <c r="AR184"/>
      <c r="BX184"/>
    </row>
    <row r="185" spans="24:76" ht="14.55" customHeight="1">
      <c r="X185" s="21"/>
      <c r="Y185" s="16"/>
      <c r="AR185"/>
      <c r="BX185"/>
    </row>
    <row r="186" spans="24:76" ht="14.55" customHeight="1">
      <c r="X186" s="21"/>
      <c r="Y186" s="16"/>
      <c r="AR186"/>
      <c r="BX186"/>
    </row>
    <row r="187" spans="24:76" ht="14.55" customHeight="1">
      <c r="X187" s="21"/>
      <c r="Y187" s="16"/>
      <c r="AR187"/>
      <c r="BX187"/>
    </row>
    <row r="188" spans="24:76" ht="14.55" customHeight="1">
      <c r="X188" s="21"/>
      <c r="Y188" s="16"/>
      <c r="AR188"/>
      <c r="BX188"/>
    </row>
    <row r="189" spans="24:76" ht="14.55" customHeight="1">
      <c r="X189" s="21"/>
      <c r="Y189" s="16"/>
      <c r="AR189"/>
      <c r="BX189"/>
    </row>
    <row r="190" spans="24:76" ht="14.55" customHeight="1">
      <c r="X190" s="21"/>
      <c r="Y190" s="16"/>
      <c r="AR190"/>
      <c r="BX190"/>
    </row>
    <row r="191" spans="24:76" ht="14.55" customHeight="1">
      <c r="X191" s="21"/>
      <c r="Y191" s="16"/>
      <c r="AR191"/>
      <c r="BX191"/>
    </row>
    <row r="192" spans="24:76" ht="14.55" customHeight="1">
      <c r="X192" s="21"/>
      <c r="Y192" s="16"/>
      <c r="AR192"/>
      <c r="BX192"/>
    </row>
    <row r="193" spans="24:76" ht="14.55" customHeight="1">
      <c r="X193" s="21"/>
      <c r="Y193" s="16"/>
      <c r="AR193"/>
      <c r="BX193"/>
    </row>
    <row r="194" spans="24:76" ht="14.55" customHeight="1">
      <c r="X194" s="21"/>
      <c r="Y194" s="16"/>
      <c r="AR194"/>
      <c r="BX194"/>
    </row>
    <row r="195" spans="24:76" ht="14.55" customHeight="1">
      <c r="X195" s="21"/>
      <c r="Y195" s="16"/>
      <c r="AR195"/>
      <c r="BX195"/>
    </row>
    <row r="196" spans="24:76" ht="14.55" customHeight="1">
      <c r="X196" s="21"/>
      <c r="Y196" s="16"/>
      <c r="AR196"/>
      <c r="BX196"/>
    </row>
    <row r="197" spans="24:76" ht="14.55" customHeight="1">
      <c r="X197" s="21"/>
      <c r="Y197" s="16"/>
      <c r="AR197"/>
      <c r="BX197"/>
    </row>
    <row r="198" spans="24:76" ht="14.55" customHeight="1">
      <c r="X198" s="21"/>
      <c r="Y198" s="16"/>
      <c r="AR198"/>
      <c r="BX198"/>
    </row>
    <row r="199" spans="24:76" ht="14.55" customHeight="1">
      <c r="X199" s="21"/>
      <c r="Y199" s="16"/>
      <c r="AR199"/>
      <c r="BX199"/>
    </row>
    <row r="200" spans="24:76" ht="13.5" customHeight="1">
      <c r="X200" s="21"/>
      <c r="Y200" s="16"/>
      <c r="AR200"/>
      <c r="BX200"/>
    </row>
    <row r="201" spans="24:76" ht="14.55" customHeight="1">
      <c r="X201" s="21"/>
      <c r="Y201" s="16"/>
      <c r="AR201"/>
      <c r="BX201"/>
    </row>
    <row r="202" spans="24:76" ht="19.2" customHeight="1">
      <c r="X202" s="21"/>
      <c r="Y202" s="16"/>
      <c r="AR202"/>
      <c r="BX202"/>
    </row>
    <row r="203" spans="24:76" ht="14.55" customHeight="1">
      <c r="X203" s="21"/>
      <c r="Y203" s="16"/>
      <c r="AR203"/>
      <c r="BX203"/>
    </row>
    <row r="204" spans="24:76" ht="14.55" customHeight="1">
      <c r="X204" s="21"/>
      <c r="Y204" s="16"/>
      <c r="AR204"/>
      <c r="BX204"/>
    </row>
    <row r="205" spans="24:76" ht="14.55" customHeight="1">
      <c r="X205" s="21"/>
      <c r="Y205" s="16"/>
      <c r="AR205"/>
      <c r="BX205"/>
    </row>
    <row r="206" spans="24:76" ht="14.55" customHeight="1">
      <c r="X206" s="21"/>
      <c r="Y206" s="16"/>
      <c r="AR206"/>
      <c r="BX206"/>
    </row>
    <row r="207" spans="24:76" ht="14.55" customHeight="1">
      <c r="X207" s="21"/>
      <c r="Y207" s="16"/>
      <c r="AR207"/>
      <c r="BX207"/>
    </row>
    <row r="208" spans="24:76" ht="14.55" customHeight="1">
      <c r="X208" s="21"/>
      <c r="Y208" s="16"/>
      <c r="AR208"/>
      <c r="BX208"/>
    </row>
    <row r="209" spans="24:76" ht="14.55" customHeight="1">
      <c r="X209" s="21"/>
      <c r="Y209" s="16"/>
      <c r="AR209"/>
      <c r="BX209"/>
    </row>
    <row r="210" spans="24:76" ht="14.55" customHeight="1">
      <c r="X210" s="21"/>
      <c r="Y210" s="16"/>
      <c r="AR210"/>
      <c r="BX210"/>
    </row>
    <row r="211" spans="24:76" ht="14.55" customHeight="1">
      <c r="X211" s="21"/>
      <c r="Y211" s="16"/>
      <c r="AR211"/>
      <c r="BX211"/>
    </row>
    <row r="212" spans="24:76" ht="14.55" customHeight="1">
      <c r="X212" s="21"/>
      <c r="Y212" s="16"/>
      <c r="AR212"/>
      <c r="BX212"/>
    </row>
    <row r="213" spans="24:76" ht="14.55" customHeight="1">
      <c r="X213" s="21"/>
      <c r="Y213" s="16"/>
      <c r="AR213"/>
      <c r="BX213"/>
    </row>
    <row r="214" spans="24:76" ht="14.55" customHeight="1">
      <c r="X214" s="21"/>
      <c r="Y214" s="16"/>
      <c r="AR214"/>
      <c r="BX214"/>
    </row>
    <row r="215" spans="24:76" ht="14.55" customHeight="1">
      <c r="X215" s="21"/>
      <c r="Y215" s="16"/>
      <c r="AR215"/>
      <c r="BX215"/>
    </row>
    <row r="216" spans="24:76" ht="14.55" customHeight="1">
      <c r="X216" s="21"/>
      <c r="Y216" s="16"/>
      <c r="AR216"/>
      <c r="BX216"/>
    </row>
    <row r="217" spans="24:76" ht="14.55" customHeight="1">
      <c r="X217" s="21"/>
      <c r="Y217" s="16"/>
      <c r="AR217"/>
      <c r="BX217"/>
    </row>
    <row r="218" spans="24:76" ht="14.55" customHeight="1">
      <c r="X218" s="21"/>
      <c r="Y218" s="16"/>
      <c r="AR218"/>
      <c r="BX218"/>
    </row>
    <row r="219" spans="24:76" ht="14.55" customHeight="1">
      <c r="X219" s="21"/>
      <c r="Y219" s="16"/>
      <c r="AR219"/>
      <c r="BX219"/>
    </row>
    <row r="220" spans="24:76" ht="14.55" customHeight="1">
      <c r="X220" s="21"/>
      <c r="Y220" s="16"/>
      <c r="AR220"/>
      <c r="BX220"/>
    </row>
    <row r="221" spans="24:76" ht="14.55" customHeight="1">
      <c r="X221" s="21"/>
      <c r="Y221" s="16"/>
      <c r="AR221"/>
      <c r="BX221"/>
    </row>
    <row r="222" spans="24:76" ht="14.55" customHeight="1">
      <c r="X222" s="21"/>
      <c r="Y222" s="16"/>
      <c r="AR222"/>
      <c r="BX222"/>
    </row>
    <row r="223" spans="24:76" ht="14.55" customHeight="1">
      <c r="X223" s="21"/>
      <c r="Y223" s="16"/>
      <c r="AR223"/>
      <c r="BX223"/>
    </row>
    <row r="224" spans="24:76" ht="14.55" customHeight="1">
      <c r="X224" s="21"/>
      <c r="Y224" s="16"/>
      <c r="AR224"/>
      <c r="BX224"/>
    </row>
    <row r="225" spans="24:76" ht="14.55" customHeight="1">
      <c r="X225" s="21"/>
      <c r="Y225" s="16"/>
      <c r="AR225"/>
      <c r="BX225"/>
    </row>
    <row r="226" spans="24:76" ht="14.55" customHeight="1">
      <c r="X226" s="21"/>
      <c r="Y226" s="16"/>
      <c r="AR226"/>
      <c r="BX226"/>
    </row>
    <row r="227" spans="24:76" ht="19.2" customHeight="1">
      <c r="X227" s="21"/>
      <c r="Y227" s="16"/>
      <c r="AR227"/>
      <c r="BX227"/>
    </row>
    <row r="228" spans="24:76" ht="14.55" customHeight="1">
      <c r="X228" s="21"/>
      <c r="Y228" s="16"/>
      <c r="AR228"/>
      <c r="BX228"/>
    </row>
    <row r="229" spans="24:76" ht="14.55" customHeight="1">
      <c r="X229" s="21"/>
      <c r="Y229" s="16"/>
      <c r="AR229"/>
      <c r="BX229"/>
    </row>
    <row r="230" spans="24:76" ht="14.55" customHeight="1">
      <c r="X230" s="21"/>
      <c r="Y230" s="16"/>
      <c r="AR230"/>
      <c r="BX230"/>
    </row>
    <row r="231" spans="24:76" ht="14.55" customHeight="1">
      <c r="X231" s="21"/>
      <c r="Y231" s="16"/>
      <c r="AR231"/>
      <c r="BX231"/>
    </row>
    <row r="232" spans="24:76" ht="14.55" customHeight="1">
      <c r="X232" s="21"/>
      <c r="Y232" s="16"/>
      <c r="AR232"/>
      <c r="BX232"/>
    </row>
    <row r="233" spans="24:76" ht="14.55" customHeight="1">
      <c r="X233" s="21"/>
      <c r="Y233" s="16"/>
      <c r="AR233"/>
      <c r="BX233"/>
    </row>
    <row r="234" spans="24:76" ht="14.55" customHeight="1">
      <c r="X234" s="21"/>
      <c r="Y234" s="16"/>
      <c r="AR234"/>
      <c r="BX234"/>
    </row>
    <row r="235" spans="24:76" ht="14.55" customHeight="1">
      <c r="X235" s="21"/>
      <c r="Y235" s="16"/>
      <c r="AR235"/>
      <c r="BX235"/>
    </row>
    <row r="236" spans="24:76" ht="14.55" customHeight="1">
      <c r="X236" s="21"/>
      <c r="Y236" s="16"/>
      <c r="AR236"/>
      <c r="BX236"/>
    </row>
    <row r="237" spans="24:76" ht="14.55" customHeight="1">
      <c r="X237" s="21"/>
      <c r="Y237" s="16"/>
      <c r="AR237"/>
      <c r="BX237"/>
    </row>
    <row r="238" spans="24:76" ht="14.55" customHeight="1">
      <c r="X238" s="21"/>
      <c r="Y238" s="16"/>
      <c r="AR238"/>
      <c r="BX238"/>
    </row>
    <row r="239" spans="24:76" ht="14.55" customHeight="1">
      <c r="X239" s="21"/>
      <c r="Y239" s="16"/>
      <c r="AR239"/>
      <c r="BX239"/>
    </row>
    <row r="240" spans="24:76" ht="14.55" customHeight="1">
      <c r="X240" s="21"/>
      <c r="Y240" s="16"/>
      <c r="AR240"/>
      <c r="BX240"/>
    </row>
    <row r="241" spans="24:76" ht="14.55" customHeight="1">
      <c r="X241" s="21"/>
      <c r="Y241" s="16"/>
      <c r="AR241"/>
      <c r="BX241"/>
    </row>
    <row r="242" spans="24:76" ht="14.55" customHeight="1">
      <c r="X242" s="21"/>
      <c r="Y242" s="16"/>
      <c r="AR242"/>
      <c r="BX242"/>
    </row>
    <row r="243" spans="24:76" ht="14.55" customHeight="1">
      <c r="X243" s="21"/>
      <c r="Y243" s="16"/>
      <c r="AR243"/>
      <c r="BX243"/>
    </row>
    <row r="244" spans="24:76" ht="14.55" customHeight="1">
      <c r="X244" s="21"/>
      <c r="Y244" s="16"/>
      <c r="AR244"/>
      <c r="BX244"/>
    </row>
    <row r="245" spans="24:76" ht="14.55" customHeight="1">
      <c r="X245" s="21"/>
      <c r="Y245" s="16"/>
      <c r="AR245"/>
      <c r="BX245"/>
    </row>
    <row r="246" spans="24:76" ht="14.55" customHeight="1">
      <c r="X246" s="21"/>
      <c r="Y246" s="16"/>
      <c r="AR246"/>
      <c r="BX246"/>
    </row>
    <row r="247" spans="24:76" ht="14.55" customHeight="1">
      <c r="X247" s="21"/>
      <c r="Y247" s="16"/>
      <c r="AR247"/>
      <c r="BX247"/>
    </row>
    <row r="248" spans="24:76" ht="14.55" customHeight="1">
      <c r="X248" s="21"/>
      <c r="Y248" s="16"/>
      <c r="AR248"/>
      <c r="BX248"/>
    </row>
    <row r="249" spans="24:76" ht="14.55" customHeight="1">
      <c r="X249" s="21"/>
      <c r="Y249" s="16"/>
      <c r="AR249"/>
      <c r="BX249"/>
    </row>
    <row r="250" spans="24:76" ht="14.55" customHeight="1">
      <c r="X250" s="21"/>
      <c r="Y250" s="16"/>
      <c r="AR250"/>
      <c r="BX250"/>
    </row>
    <row r="251" spans="24:76" ht="14.55" customHeight="1">
      <c r="X251" s="21"/>
      <c r="Y251" s="16"/>
      <c r="AR251"/>
      <c r="BX251"/>
    </row>
    <row r="252" spans="24:76" ht="19.2" customHeight="1">
      <c r="X252" s="21"/>
      <c r="Y252" s="16"/>
      <c r="AR252"/>
      <c r="BX252"/>
    </row>
    <row r="253" spans="24:76" ht="14.55" customHeight="1">
      <c r="X253" s="21"/>
      <c r="Y253" s="16"/>
      <c r="AR253"/>
      <c r="BX253"/>
    </row>
    <row r="254" spans="24:76" ht="14.55" customHeight="1">
      <c r="X254" s="21"/>
      <c r="Y254" s="16"/>
      <c r="AR254"/>
      <c r="BX254"/>
    </row>
    <row r="255" spans="24:76" ht="14.55" customHeight="1">
      <c r="X255" s="21"/>
      <c r="Y255" s="16"/>
      <c r="AR255"/>
      <c r="BX255"/>
    </row>
    <row r="256" spans="24:76" ht="14.55" customHeight="1">
      <c r="X256" s="21"/>
      <c r="Y256" s="16"/>
      <c r="AR256"/>
      <c r="BX256"/>
    </row>
    <row r="257" spans="24:76" ht="14.55" customHeight="1">
      <c r="X257" s="21"/>
      <c r="Y257" s="16"/>
      <c r="AR257"/>
      <c r="BX257"/>
    </row>
    <row r="258" spans="24:76" ht="14.55" customHeight="1">
      <c r="X258" s="21"/>
      <c r="Y258" s="16"/>
      <c r="AR258"/>
      <c r="BX258"/>
    </row>
    <row r="259" spans="24:76" ht="14.55" customHeight="1">
      <c r="X259" s="21"/>
      <c r="Y259" s="16"/>
      <c r="AR259"/>
      <c r="BX259"/>
    </row>
    <row r="260" spans="24:76" ht="14.55" customHeight="1">
      <c r="X260" s="21"/>
      <c r="Y260" s="16"/>
      <c r="AR260"/>
      <c r="BX260"/>
    </row>
    <row r="261" spans="24:76" ht="14.55" customHeight="1">
      <c r="X261" s="21"/>
      <c r="Y261" s="16"/>
      <c r="AR261"/>
      <c r="BX261"/>
    </row>
    <row r="262" spans="24:76" ht="14.55" customHeight="1">
      <c r="X262" s="21"/>
      <c r="Y262" s="16"/>
      <c r="AR262"/>
      <c r="BX262"/>
    </row>
    <row r="263" spans="24:76" ht="14.55" customHeight="1">
      <c r="X263" s="21"/>
      <c r="Y263" s="16"/>
      <c r="AR263"/>
      <c r="BX263"/>
    </row>
    <row r="264" spans="24:76" ht="14.55" customHeight="1">
      <c r="X264" s="21"/>
      <c r="Y264" s="16"/>
      <c r="AR264"/>
      <c r="BX264"/>
    </row>
    <row r="265" spans="24:76" ht="14.55" customHeight="1">
      <c r="X265" s="21"/>
      <c r="Y265" s="16"/>
      <c r="AR265"/>
      <c r="BX265"/>
    </row>
    <row r="266" spans="24:76" ht="14.55" customHeight="1">
      <c r="X266" s="21"/>
      <c r="Y266" s="16"/>
      <c r="AR266"/>
      <c r="BX266"/>
    </row>
    <row r="267" spans="24:76" ht="14.55" customHeight="1">
      <c r="X267" s="21"/>
      <c r="Y267" s="16"/>
      <c r="AR267"/>
      <c r="BX267"/>
    </row>
    <row r="268" spans="24:76" ht="14.55" customHeight="1">
      <c r="X268" s="21"/>
      <c r="Y268" s="16"/>
      <c r="AR268"/>
      <c r="BX268"/>
    </row>
    <row r="269" spans="24:76" ht="14.55" customHeight="1">
      <c r="X269" s="21"/>
      <c r="Y269" s="16"/>
      <c r="AR269"/>
      <c r="BX269"/>
    </row>
    <row r="270" spans="24:76" ht="14.55" customHeight="1">
      <c r="X270" s="21"/>
      <c r="Y270" s="16"/>
      <c r="AR270"/>
      <c r="BX270"/>
    </row>
    <row r="271" spans="24:76" ht="14.55" customHeight="1">
      <c r="X271" s="21"/>
      <c r="Y271" s="16"/>
      <c r="AR271"/>
      <c r="BX271"/>
    </row>
    <row r="272" spans="24:76" ht="14.55" customHeight="1">
      <c r="X272" s="21"/>
      <c r="Y272" s="16"/>
      <c r="AR272"/>
      <c r="BX272"/>
    </row>
    <row r="273" spans="24:76" ht="14.55" customHeight="1">
      <c r="X273" s="21"/>
      <c r="Y273" s="16"/>
      <c r="AR273"/>
      <c r="BX273"/>
    </row>
    <row r="274" spans="24:76" ht="14.55" customHeight="1">
      <c r="X274" s="21"/>
      <c r="Y274" s="16"/>
      <c r="AR274"/>
      <c r="BX274"/>
    </row>
    <row r="275" spans="24:76" ht="14.55" customHeight="1">
      <c r="X275" s="21"/>
      <c r="Y275" s="16"/>
      <c r="AR275"/>
      <c r="BX275"/>
    </row>
    <row r="276" spans="24:76" ht="14.55" customHeight="1">
      <c r="X276" s="21"/>
      <c r="Y276" s="16"/>
      <c r="AR276"/>
      <c r="BX276"/>
    </row>
    <row r="277" spans="24:76" ht="19.2" customHeight="1">
      <c r="X277" s="21"/>
      <c r="Y277" s="16"/>
      <c r="AR277"/>
      <c r="BX277"/>
    </row>
    <row r="278" spans="24:76" ht="14.55" customHeight="1">
      <c r="X278" s="21"/>
      <c r="Y278" s="16"/>
      <c r="AR278"/>
      <c r="BX278"/>
    </row>
    <row r="279" spans="24:76" ht="14.55" customHeight="1">
      <c r="X279" s="21"/>
      <c r="Y279" s="16"/>
      <c r="AR279"/>
      <c r="BX279"/>
    </row>
    <row r="280" spans="24:76" ht="14.55" customHeight="1">
      <c r="X280" s="21"/>
      <c r="Y280" s="16"/>
      <c r="AR280"/>
      <c r="BX280"/>
    </row>
    <row r="281" spans="24:76" ht="14.55" customHeight="1">
      <c r="X281" s="21"/>
      <c r="Y281" s="16"/>
      <c r="AR281"/>
      <c r="BX281"/>
    </row>
    <row r="282" spans="24:76" ht="14.55" customHeight="1">
      <c r="X282" s="21"/>
      <c r="Y282" s="16"/>
      <c r="AR282"/>
      <c r="BX282"/>
    </row>
    <row r="283" spans="24:76" ht="14.55" customHeight="1">
      <c r="X283" s="21"/>
      <c r="Y283" s="16"/>
      <c r="AR283"/>
      <c r="BX283"/>
    </row>
    <row r="284" spans="24:76" ht="14.55" customHeight="1">
      <c r="X284" s="21"/>
      <c r="Y284" s="16"/>
      <c r="AR284"/>
      <c r="BX284"/>
    </row>
    <row r="285" spans="24:76" ht="14.55" customHeight="1">
      <c r="X285" s="21"/>
      <c r="Y285" s="16"/>
      <c r="AR285"/>
      <c r="BX285"/>
    </row>
    <row r="286" spans="24:76" ht="14.55" customHeight="1">
      <c r="X286" s="21"/>
      <c r="Y286" s="16"/>
      <c r="AR286"/>
      <c r="BX286"/>
    </row>
    <row r="287" spans="24:76" ht="14.55" customHeight="1">
      <c r="X287" s="21"/>
      <c r="Y287" s="16"/>
      <c r="AR287"/>
      <c r="BX287"/>
    </row>
    <row r="288" spans="24:76" ht="14.55" customHeight="1">
      <c r="X288" s="21"/>
      <c r="Y288" s="16"/>
      <c r="AR288"/>
      <c r="BX288"/>
    </row>
    <row r="289" spans="24:76" ht="14.55" customHeight="1">
      <c r="X289" s="21"/>
      <c r="Y289" s="16"/>
      <c r="AR289"/>
      <c r="BX289"/>
    </row>
    <row r="290" spans="24:76" ht="14.55" customHeight="1">
      <c r="X290" s="21"/>
      <c r="Y290" s="16"/>
      <c r="AR290"/>
      <c r="BX290"/>
    </row>
    <row r="291" spans="24:76" ht="14.55" customHeight="1">
      <c r="X291" s="21"/>
      <c r="Y291" s="16"/>
      <c r="AR291"/>
      <c r="BX291"/>
    </row>
    <row r="292" spans="24:76" ht="14.55" customHeight="1">
      <c r="X292" s="21"/>
      <c r="Y292" s="16"/>
      <c r="AR292"/>
      <c r="BX292"/>
    </row>
    <row r="293" spans="24:76" ht="14.55" customHeight="1">
      <c r="X293" s="21"/>
      <c r="Y293" s="16"/>
      <c r="AR293"/>
      <c r="BX293"/>
    </row>
    <row r="294" spans="24:76" ht="14.55" customHeight="1">
      <c r="X294" s="21"/>
      <c r="Y294" s="16"/>
      <c r="AR294"/>
      <c r="BX294"/>
    </row>
    <row r="295" spans="24:76" ht="14.55" customHeight="1">
      <c r="X295" s="21"/>
      <c r="Y295" s="16"/>
      <c r="AR295"/>
      <c r="BX295"/>
    </row>
    <row r="296" spans="24:76" ht="14.55" customHeight="1">
      <c r="X296" s="21"/>
      <c r="Y296" s="16"/>
      <c r="AR296"/>
      <c r="BX296"/>
    </row>
    <row r="297" spans="24:76" ht="14.55" customHeight="1">
      <c r="X297" s="21"/>
      <c r="Y297" s="16"/>
      <c r="AR297"/>
      <c r="BX297"/>
    </row>
    <row r="298" spans="24:76" ht="14.55" customHeight="1">
      <c r="X298" s="21"/>
      <c r="Y298" s="16"/>
      <c r="AR298"/>
      <c r="BX298"/>
    </row>
    <row r="299" spans="24:76" ht="14.55" customHeight="1">
      <c r="X299" s="21"/>
      <c r="Y299" s="16"/>
      <c r="AR299"/>
      <c r="BX299"/>
    </row>
    <row r="300" spans="24:76" ht="14.55" customHeight="1">
      <c r="X300" s="21"/>
      <c r="Y300" s="16"/>
      <c r="AR300"/>
      <c r="BX300"/>
    </row>
    <row r="301" spans="24:76" ht="14.55" customHeight="1">
      <c r="X301" s="21"/>
      <c r="Y301" s="16"/>
      <c r="AR301"/>
      <c r="BX301"/>
    </row>
    <row r="302" spans="24:76" ht="19.2" customHeight="1">
      <c r="X302" s="21"/>
      <c r="Y302" s="16"/>
      <c r="AR302"/>
      <c r="BX302"/>
    </row>
    <row r="303" spans="24:76" ht="14.55" customHeight="1">
      <c r="X303" s="21"/>
      <c r="Y303" s="16"/>
      <c r="AR303"/>
      <c r="BX303"/>
    </row>
    <row r="304" spans="24:76" ht="14.55" customHeight="1">
      <c r="X304" s="21"/>
      <c r="Y304" s="16"/>
      <c r="AR304"/>
      <c r="BX304"/>
    </row>
    <row r="305" spans="24:76" ht="14.55" customHeight="1">
      <c r="X305" s="21"/>
      <c r="Y305" s="16"/>
      <c r="AR305"/>
      <c r="BX305"/>
    </row>
    <row r="306" spans="24:76" ht="14.55" customHeight="1">
      <c r="X306" s="21"/>
      <c r="Y306" s="16"/>
      <c r="AR306"/>
      <c r="BX306"/>
    </row>
    <row r="307" spans="24:76" ht="14.55" customHeight="1">
      <c r="X307" s="21"/>
      <c r="Y307" s="16"/>
      <c r="AR307"/>
      <c r="BX307"/>
    </row>
    <row r="308" spans="24:76" ht="14.55" customHeight="1">
      <c r="X308" s="21"/>
      <c r="Y308" s="16"/>
      <c r="AR308"/>
      <c r="BX308"/>
    </row>
    <row r="309" spans="24:76" ht="14.55" customHeight="1">
      <c r="X309" s="21"/>
      <c r="Y309" s="16"/>
      <c r="AR309"/>
      <c r="BX309"/>
    </row>
    <row r="310" spans="24:76" ht="14.55" customHeight="1">
      <c r="X310" s="21"/>
      <c r="Y310" s="16"/>
      <c r="AR310"/>
      <c r="BX310"/>
    </row>
    <row r="311" spans="24:76" ht="14.55" customHeight="1">
      <c r="X311" s="21"/>
      <c r="Y311" s="16"/>
      <c r="AR311"/>
      <c r="BX311"/>
    </row>
    <row r="312" spans="24:76" ht="14.55" customHeight="1">
      <c r="X312" s="21"/>
      <c r="Y312" s="16"/>
      <c r="AR312"/>
      <c r="BX312"/>
    </row>
    <row r="313" spans="24:76" ht="14.55" customHeight="1">
      <c r="X313" s="21"/>
      <c r="Y313" s="16"/>
      <c r="AR313"/>
      <c r="BX313"/>
    </row>
    <row r="314" spans="24:76" ht="14.55" customHeight="1">
      <c r="X314" s="21"/>
      <c r="Y314" s="16"/>
      <c r="AR314"/>
      <c r="BX314"/>
    </row>
    <row r="315" spans="24:76" ht="14.55" customHeight="1">
      <c r="X315" s="21"/>
      <c r="Y315" s="16"/>
      <c r="AR315"/>
      <c r="BX315"/>
    </row>
    <row r="316" spans="24:76" ht="14.55" customHeight="1">
      <c r="X316" s="21"/>
      <c r="Y316" s="16"/>
      <c r="AR316"/>
      <c r="BX316"/>
    </row>
    <row r="317" spans="24:76" ht="14.55" customHeight="1">
      <c r="X317" s="21"/>
      <c r="Y317" s="16"/>
      <c r="AR317"/>
      <c r="BX317"/>
    </row>
    <row r="318" spans="24:76" ht="14.55" customHeight="1">
      <c r="X318" s="21"/>
      <c r="Y318" s="16"/>
      <c r="AR318"/>
      <c r="BX318"/>
    </row>
    <row r="319" spans="24:76" ht="14.55" customHeight="1">
      <c r="X319" s="21"/>
      <c r="Y319" s="16"/>
      <c r="AR319"/>
      <c r="BX319"/>
    </row>
    <row r="320" spans="24:76" ht="14.55" customHeight="1">
      <c r="X320" s="21"/>
      <c r="Y320" s="16"/>
      <c r="AR320"/>
      <c r="BX320"/>
    </row>
    <row r="321" spans="24:76" ht="14.55" customHeight="1">
      <c r="X321" s="21"/>
      <c r="Y321" s="16"/>
      <c r="AR321"/>
      <c r="BX321"/>
    </row>
    <row r="322" spans="24:76" ht="14.55" customHeight="1">
      <c r="X322" s="21"/>
      <c r="Y322" s="16"/>
      <c r="AR322"/>
      <c r="BX322"/>
    </row>
    <row r="323" spans="24:76" ht="14.55" customHeight="1">
      <c r="X323" s="21"/>
      <c r="Y323" s="16"/>
      <c r="AR323"/>
      <c r="BX323"/>
    </row>
    <row r="324" spans="24:76" ht="14.55" customHeight="1">
      <c r="X324" s="21"/>
      <c r="Y324" s="16"/>
      <c r="AR324"/>
      <c r="BX324"/>
    </row>
    <row r="325" spans="24:76" ht="14.55" customHeight="1">
      <c r="X325" s="21"/>
      <c r="Y325" s="16"/>
      <c r="AR325"/>
      <c r="BX325"/>
    </row>
    <row r="326" spans="24:76" ht="14.55" customHeight="1">
      <c r="X326" s="21"/>
      <c r="Y326" s="16"/>
      <c r="AR326"/>
      <c r="BX326"/>
    </row>
    <row r="327" spans="24:76" ht="14.55" customHeight="1">
      <c r="X327" s="21"/>
      <c r="Y327" s="16"/>
      <c r="AR327"/>
      <c r="BX327"/>
    </row>
    <row r="328" spans="24:76" ht="14.55" customHeight="1">
      <c r="X328" s="21"/>
      <c r="Y328" s="16"/>
      <c r="AR328"/>
      <c r="BX328"/>
    </row>
    <row r="329" spans="24:76" ht="14.55" customHeight="1">
      <c r="X329" s="21"/>
      <c r="Y329" s="16"/>
      <c r="AR329"/>
      <c r="BX329"/>
    </row>
    <row r="330" spans="24:76">
      <c r="X330" s="21"/>
      <c r="Y330" s="16"/>
      <c r="AR330"/>
      <c r="BX330"/>
    </row>
    <row r="331" spans="24:76">
      <c r="X331" s="21"/>
      <c r="Y331" s="16"/>
      <c r="AR331"/>
      <c r="BX331"/>
    </row>
    <row r="332" spans="24:76">
      <c r="X332" s="21"/>
      <c r="Y332" s="16"/>
      <c r="AR332"/>
      <c r="BX332"/>
    </row>
    <row r="333" spans="24:76">
      <c r="X333" s="21"/>
      <c r="Y333" s="16"/>
      <c r="AR333"/>
      <c r="BX333"/>
    </row>
    <row r="334" spans="24:76">
      <c r="X334" s="21"/>
      <c r="Y334" s="16"/>
      <c r="AR334"/>
      <c r="BX334"/>
    </row>
    <row r="335" spans="24:76">
      <c r="X335" s="21"/>
      <c r="Y335" s="16"/>
      <c r="AR335"/>
      <c r="BX335"/>
    </row>
    <row r="336" spans="24:76">
      <c r="X336" s="21"/>
      <c r="Y336" s="16"/>
      <c r="AR336"/>
      <c r="BX336"/>
    </row>
    <row r="337" spans="24:76">
      <c r="X337" s="21"/>
      <c r="Y337" s="16"/>
      <c r="AR337"/>
      <c r="BX337"/>
    </row>
    <row r="338" spans="24:76">
      <c r="X338" s="21"/>
      <c r="Y338" s="16"/>
      <c r="AR338"/>
      <c r="BX338"/>
    </row>
    <row r="339" spans="24:76">
      <c r="X339" s="21"/>
      <c r="Y339" s="16"/>
      <c r="AR339"/>
      <c r="BX339"/>
    </row>
    <row r="340" spans="24:76">
      <c r="X340" s="21"/>
      <c r="Y340" s="16"/>
      <c r="AR340"/>
      <c r="BX340"/>
    </row>
    <row r="341" spans="24:76">
      <c r="X341" s="21"/>
      <c r="Y341" s="16"/>
      <c r="AR341"/>
      <c r="BX341"/>
    </row>
    <row r="342" spans="24:76">
      <c r="X342" s="21"/>
      <c r="Y342" s="16"/>
      <c r="AR342"/>
      <c r="BX342"/>
    </row>
    <row r="343" spans="24:76">
      <c r="X343" s="21"/>
      <c r="Y343" s="16"/>
      <c r="AR343"/>
      <c r="BX343"/>
    </row>
    <row r="344" spans="24:76">
      <c r="X344" s="21"/>
      <c r="Y344" s="16"/>
      <c r="AR344"/>
      <c r="BX344"/>
    </row>
    <row r="345" spans="24:76">
      <c r="X345" s="21"/>
      <c r="Y345" s="16"/>
      <c r="AR345"/>
      <c r="BX345"/>
    </row>
    <row r="346" spans="24:76">
      <c r="X346" s="21"/>
      <c r="Y346" s="16"/>
      <c r="AR346"/>
      <c r="BX346"/>
    </row>
    <row r="347" spans="24:76">
      <c r="X347" s="21"/>
      <c r="Y347" s="16"/>
      <c r="AR347"/>
      <c r="BX347"/>
    </row>
    <row r="348" spans="24:76">
      <c r="X348" s="21"/>
      <c r="Y348" s="16"/>
      <c r="AR348"/>
      <c r="BX348"/>
    </row>
    <row r="349" spans="24:76">
      <c r="X349" s="21"/>
      <c r="Y349" s="16"/>
      <c r="AR349"/>
      <c r="BX349"/>
    </row>
    <row r="350" spans="24:76">
      <c r="X350" s="21"/>
      <c r="Y350" s="16"/>
      <c r="AR350"/>
      <c r="BX350"/>
    </row>
    <row r="351" spans="24:76">
      <c r="X351" s="21"/>
      <c r="Y351" s="16"/>
      <c r="AR351"/>
      <c r="BX351"/>
    </row>
    <row r="352" spans="24:76">
      <c r="X352" s="21"/>
      <c r="Y352" s="16"/>
      <c r="AR352"/>
      <c r="BX352"/>
    </row>
    <row r="353" spans="24:76">
      <c r="X353" s="21"/>
      <c r="Y353" s="16"/>
      <c r="AR353"/>
      <c r="BX353"/>
    </row>
    <row r="354" spans="24:76">
      <c r="X354" s="21"/>
      <c r="Y354" s="16"/>
      <c r="AR354"/>
      <c r="BX354"/>
    </row>
    <row r="355" spans="24:76">
      <c r="X355" s="21"/>
      <c r="Y355" s="16"/>
      <c r="AR355"/>
      <c r="BX355"/>
    </row>
    <row r="356" spans="24:76">
      <c r="X356" s="21"/>
      <c r="Y356" s="16"/>
      <c r="AR356"/>
      <c r="BX356"/>
    </row>
    <row r="357" spans="24:76">
      <c r="X357" s="21"/>
      <c r="Y357" s="16"/>
      <c r="AR357"/>
      <c r="BX357"/>
    </row>
    <row r="358" spans="24:76">
      <c r="X358" s="21"/>
      <c r="Y358" s="16"/>
      <c r="AR358"/>
      <c r="BX358"/>
    </row>
    <row r="359" spans="24:76">
      <c r="X359" s="21"/>
      <c r="Y359" s="16"/>
      <c r="AR359"/>
      <c r="BX359"/>
    </row>
    <row r="360" spans="24:76">
      <c r="X360" s="21"/>
      <c r="Y360" s="16"/>
      <c r="AR360"/>
      <c r="BX360"/>
    </row>
    <row r="361" spans="24:76">
      <c r="X361" s="21"/>
      <c r="Y361" s="16"/>
      <c r="AR361"/>
      <c r="BX361"/>
    </row>
    <row r="362" spans="24:76">
      <c r="X362" s="21"/>
      <c r="Y362" s="16"/>
      <c r="AR362"/>
      <c r="BX362"/>
    </row>
    <row r="363" spans="24:76">
      <c r="X363" s="21"/>
      <c r="Y363" s="16"/>
      <c r="AR363"/>
      <c r="BX363"/>
    </row>
    <row r="364" spans="24:76">
      <c r="X364" s="21"/>
      <c r="Y364" s="16"/>
      <c r="AR364"/>
      <c r="BX364"/>
    </row>
    <row r="365" spans="24:76">
      <c r="X365" s="21"/>
      <c r="Y365" s="16"/>
      <c r="AR365"/>
      <c r="BX365"/>
    </row>
    <row r="366" spans="24:76">
      <c r="X366" s="21"/>
      <c r="Y366" s="16"/>
      <c r="AR366"/>
      <c r="BX366"/>
    </row>
    <row r="367" spans="24:76">
      <c r="X367" s="21"/>
      <c r="Y367" s="16"/>
      <c r="AR367"/>
      <c r="BX367"/>
    </row>
    <row r="368" spans="24:76">
      <c r="X368" s="21"/>
      <c r="Y368" s="16"/>
      <c r="AR368"/>
      <c r="BX368"/>
    </row>
    <row r="369" spans="24:76">
      <c r="X369" s="21"/>
      <c r="Y369" s="16"/>
      <c r="AR369"/>
      <c r="BX369"/>
    </row>
    <row r="370" spans="24:76">
      <c r="X370" s="21"/>
      <c r="Y370" s="16"/>
      <c r="AR370"/>
      <c r="BX370"/>
    </row>
    <row r="371" spans="24:76">
      <c r="X371" s="21"/>
      <c r="Y371" s="16"/>
      <c r="AR371"/>
      <c r="BX371"/>
    </row>
    <row r="372" spans="24:76">
      <c r="X372" s="21"/>
      <c r="Y372" s="16"/>
      <c r="AR372"/>
      <c r="BX372"/>
    </row>
    <row r="373" spans="24:76">
      <c r="X373" s="21"/>
      <c r="Y373" s="16"/>
      <c r="BX373"/>
    </row>
    <row r="374" spans="24:76">
      <c r="X374" s="21"/>
      <c r="Y374" s="16"/>
      <c r="BX374"/>
    </row>
    <row r="375" spans="24:76">
      <c r="X375" s="21"/>
      <c r="Y375" s="16"/>
      <c r="BX375"/>
    </row>
    <row r="376" spans="24:76">
      <c r="X376" s="21"/>
      <c r="BX376"/>
    </row>
    <row r="377" spans="24:76">
      <c r="X377" s="21"/>
      <c r="BX377"/>
    </row>
    <row r="378" spans="24:76">
      <c r="X378" s="21"/>
      <c r="BX378"/>
    </row>
    <row r="379" spans="24:76">
      <c r="X379" s="21"/>
      <c r="BX379"/>
    </row>
    <row r="380" spans="24:76">
      <c r="X380" s="21"/>
      <c r="BX380"/>
    </row>
    <row r="381" spans="24:76">
      <c r="X381" s="21"/>
      <c r="BX381"/>
    </row>
    <row r="382" spans="24:76">
      <c r="X382" s="21"/>
      <c r="BX382"/>
    </row>
    <row r="383" spans="24:76">
      <c r="X383" s="21"/>
      <c r="BX383"/>
    </row>
    <row r="384" spans="24:76">
      <c r="X384" s="21"/>
      <c r="BX384"/>
    </row>
    <row r="385" spans="24:76">
      <c r="X385" s="21"/>
      <c r="BX385"/>
    </row>
    <row r="386" spans="24:76">
      <c r="X386" s="21"/>
      <c r="BX386"/>
    </row>
    <row r="387" spans="24:76">
      <c r="X387" s="21"/>
      <c r="BX387"/>
    </row>
    <row r="388" spans="24:76">
      <c r="X388" s="21"/>
      <c r="BX388"/>
    </row>
    <row r="389" spans="24:76">
      <c r="X389" s="21"/>
      <c r="BX389"/>
    </row>
    <row r="390" spans="24:76">
      <c r="X390" s="21"/>
      <c r="BX390"/>
    </row>
    <row r="391" spans="24:76">
      <c r="X391" s="21"/>
      <c r="BX391"/>
    </row>
    <row r="392" spans="24:76">
      <c r="X392" s="21"/>
      <c r="BX392"/>
    </row>
    <row r="393" spans="24:76">
      <c r="X393" s="21"/>
      <c r="BX393"/>
    </row>
    <row r="394" spans="24:76">
      <c r="X394" s="21"/>
      <c r="BX394"/>
    </row>
    <row r="395" spans="24:76">
      <c r="X395" s="21"/>
      <c r="BX395"/>
    </row>
    <row r="396" spans="24:76">
      <c r="X396" s="21"/>
      <c r="BX396"/>
    </row>
    <row r="397" spans="24:76">
      <c r="X397" s="21"/>
      <c r="BX397"/>
    </row>
    <row r="398" spans="24:76">
      <c r="X398" s="21"/>
      <c r="BX398"/>
    </row>
    <row r="399" spans="24:76">
      <c r="X399" s="21"/>
      <c r="BX399"/>
    </row>
    <row r="400" spans="24:76">
      <c r="X400" s="21"/>
      <c r="BX400"/>
    </row>
    <row r="401" spans="24:76">
      <c r="X401" s="21"/>
      <c r="BX401"/>
    </row>
    <row r="402" spans="24:76">
      <c r="X402" s="21"/>
      <c r="BX402"/>
    </row>
    <row r="403" spans="24:76">
      <c r="X403" s="21"/>
      <c r="BX403"/>
    </row>
    <row r="404" spans="24:76">
      <c r="X404" s="21"/>
      <c r="BX404"/>
    </row>
    <row r="405" spans="24:76">
      <c r="X405" s="21"/>
      <c r="BX405"/>
    </row>
    <row r="406" spans="24:76">
      <c r="X406" s="21"/>
      <c r="BX406"/>
    </row>
    <row r="407" spans="24:76">
      <c r="X407" s="21"/>
      <c r="BX407"/>
    </row>
    <row r="408" spans="24:76">
      <c r="X408" s="21"/>
      <c r="BX408"/>
    </row>
    <row r="409" spans="24:76">
      <c r="X409" s="21"/>
      <c r="BX409"/>
    </row>
    <row r="410" spans="24:76">
      <c r="X410" s="21"/>
      <c r="BX410"/>
    </row>
    <row r="411" spans="24:76">
      <c r="X411" s="21"/>
      <c r="BX411"/>
    </row>
    <row r="412" spans="24:76">
      <c r="X412" s="21"/>
      <c r="BX412"/>
    </row>
    <row r="413" spans="24:76">
      <c r="X413" s="21"/>
      <c r="BX413"/>
    </row>
    <row r="414" spans="24:76">
      <c r="X414" s="21"/>
      <c r="BX414"/>
    </row>
    <row r="415" spans="24:76">
      <c r="X415" s="21"/>
      <c r="BX415"/>
    </row>
    <row r="416" spans="24:76">
      <c r="X416" s="21"/>
      <c r="BX416"/>
    </row>
    <row r="417" spans="24:76">
      <c r="X417" s="21"/>
      <c r="BX417"/>
    </row>
    <row r="418" spans="24:76">
      <c r="X418" s="21"/>
      <c r="BX418"/>
    </row>
    <row r="419" spans="24:76">
      <c r="X419" s="21"/>
      <c r="BX419"/>
    </row>
    <row r="420" spans="24:76">
      <c r="X420" s="21"/>
      <c r="BX420"/>
    </row>
    <row r="421" spans="24:76">
      <c r="X421" s="21"/>
      <c r="BX421"/>
    </row>
    <row r="422" spans="24:76">
      <c r="X422" s="21"/>
      <c r="BX422"/>
    </row>
    <row r="423" spans="24:76">
      <c r="X423" s="21"/>
      <c r="BX423"/>
    </row>
    <row r="424" spans="24:76">
      <c r="X424" s="21"/>
      <c r="BX424"/>
    </row>
    <row r="425" spans="24:76">
      <c r="X425" s="21"/>
      <c r="BX425"/>
    </row>
    <row r="426" spans="24:76">
      <c r="X426" s="21"/>
      <c r="BX426"/>
    </row>
    <row r="427" spans="24:76">
      <c r="X427" s="21"/>
      <c r="BX427"/>
    </row>
    <row r="428" spans="24:76">
      <c r="X428" s="21"/>
      <c r="BX428"/>
    </row>
    <row r="429" spans="24:76">
      <c r="X429" s="21"/>
      <c r="BX429"/>
    </row>
    <row r="430" spans="24:76">
      <c r="X430" s="21"/>
      <c r="BX430"/>
    </row>
    <row r="431" spans="24:76">
      <c r="X431" s="21"/>
      <c r="BX431"/>
    </row>
    <row r="432" spans="24:76">
      <c r="X432" s="21"/>
      <c r="BX432"/>
    </row>
    <row r="433" spans="24:76">
      <c r="X433" s="21"/>
      <c r="BX433"/>
    </row>
    <row r="434" spans="24:76">
      <c r="X434" s="21"/>
      <c r="BX434"/>
    </row>
    <row r="435" spans="24:76">
      <c r="X435" s="21"/>
      <c r="BX435"/>
    </row>
    <row r="436" spans="24:76">
      <c r="X436" s="21"/>
      <c r="BX436"/>
    </row>
    <row r="437" spans="24:76">
      <c r="X437" s="21"/>
      <c r="BX437"/>
    </row>
    <row r="438" spans="24:76">
      <c r="X438" s="21"/>
      <c r="BX438"/>
    </row>
    <row r="439" spans="24:76">
      <c r="X439" s="21"/>
      <c r="BX439"/>
    </row>
    <row r="440" spans="24:76">
      <c r="X440" s="21"/>
      <c r="BX440"/>
    </row>
    <row r="441" spans="24:76">
      <c r="X441" s="21"/>
      <c r="BX441"/>
    </row>
    <row r="442" spans="24:76">
      <c r="X442" s="21"/>
      <c r="BX442"/>
    </row>
    <row r="443" spans="24:76">
      <c r="X443" s="21"/>
      <c r="BX443"/>
    </row>
    <row r="444" spans="24:76">
      <c r="X444" s="21"/>
      <c r="BX444"/>
    </row>
    <row r="445" spans="24:76">
      <c r="X445" s="21"/>
      <c r="BX445"/>
    </row>
    <row r="446" spans="24:76">
      <c r="X446" s="21"/>
      <c r="BX446"/>
    </row>
    <row r="447" spans="24:76">
      <c r="X447" s="21"/>
      <c r="BX447"/>
    </row>
    <row r="448" spans="24:76">
      <c r="X448" s="21"/>
      <c r="BX448"/>
    </row>
    <row r="449" spans="24:76">
      <c r="X449" s="21"/>
      <c r="BX449"/>
    </row>
    <row r="450" spans="24:76">
      <c r="X450" s="21"/>
      <c r="BX450"/>
    </row>
    <row r="451" spans="24:76">
      <c r="X451" s="21"/>
      <c r="BX451"/>
    </row>
    <row r="452" spans="24:76">
      <c r="X452" s="21"/>
      <c r="BX452"/>
    </row>
    <row r="453" spans="24:76">
      <c r="X453" s="21"/>
      <c r="BX453"/>
    </row>
    <row r="454" spans="24:76">
      <c r="X454" s="21"/>
      <c r="BX454"/>
    </row>
    <row r="455" spans="24:76">
      <c r="X455" s="21"/>
      <c r="BX455"/>
    </row>
    <row r="456" spans="24:76">
      <c r="X456" s="21"/>
      <c r="BX456"/>
    </row>
    <row r="457" spans="24:76">
      <c r="X457" s="21"/>
      <c r="BX457"/>
    </row>
    <row r="458" spans="24:76">
      <c r="X458" s="21"/>
      <c r="BX458"/>
    </row>
    <row r="459" spans="24:76">
      <c r="X459" s="21"/>
      <c r="BX459"/>
    </row>
    <row r="460" spans="24:76">
      <c r="X460" s="21"/>
      <c r="BX460"/>
    </row>
    <row r="461" spans="24:76">
      <c r="X461" s="21"/>
      <c r="BX461"/>
    </row>
    <row r="462" spans="24:76">
      <c r="X462" s="21"/>
      <c r="BX462"/>
    </row>
    <row r="463" spans="24:76">
      <c r="X463" s="21"/>
      <c r="BX463"/>
    </row>
    <row r="464" spans="24:76">
      <c r="X464" s="21"/>
      <c r="BX464"/>
    </row>
    <row r="465" spans="24:76">
      <c r="X465" s="21"/>
      <c r="BX465"/>
    </row>
    <row r="466" spans="24:76">
      <c r="X466" s="21"/>
      <c r="BX466"/>
    </row>
    <row r="467" spans="24:76">
      <c r="X467" s="21"/>
      <c r="BX467"/>
    </row>
    <row r="468" spans="24:76">
      <c r="X468" s="21"/>
      <c r="BX468"/>
    </row>
    <row r="469" spans="24:76">
      <c r="X469" s="21"/>
      <c r="BX469"/>
    </row>
    <row r="470" spans="24:76">
      <c r="X470" s="21"/>
      <c r="BX470"/>
    </row>
    <row r="471" spans="24:76">
      <c r="X471" s="21"/>
      <c r="BX471"/>
    </row>
    <row r="472" spans="24:76">
      <c r="X472" s="21"/>
      <c r="BX472"/>
    </row>
    <row r="473" spans="24:76">
      <c r="X473" s="21"/>
      <c r="BX473"/>
    </row>
    <row r="474" spans="24:76">
      <c r="X474" s="21"/>
      <c r="BX474"/>
    </row>
    <row r="475" spans="24:76">
      <c r="X475" s="21"/>
      <c r="BX475"/>
    </row>
    <row r="476" spans="24:76">
      <c r="X476" s="21"/>
      <c r="BX476"/>
    </row>
    <row r="477" spans="24:76">
      <c r="X477" s="21"/>
      <c r="BX477"/>
    </row>
    <row r="478" spans="24:76">
      <c r="X478" s="21"/>
      <c r="BX478"/>
    </row>
    <row r="479" spans="24:76">
      <c r="X479" s="21"/>
      <c r="BX479"/>
    </row>
    <row r="480" spans="24:76">
      <c r="X480" s="21"/>
      <c r="BX480"/>
    </row>
    <row r="481" spans="24:76">
      <c r="X481" s="21"/>
      <c r="BX481"/>
    </row>
    <row r="482" spans="24:76">
      <c r="X482" s="21"/>
      <c r="BX482"/>
    </row>
    <row r="483" spans="24:76">
      <c r="X483" s="21"/>
      <c r="BX483"/>
    </row>
    <row r="484" spans="24:76">
      <c r="X484" s="21"/>
      <c r="BX484"/>
    </row>
    <row r="485" spans="24:76">
      <c r="X485" s="21"/>
      <c r="BX485"/>
    </row>
    <row r="486" spans="24:76">
      <c r="X486" s="21"/>
      <c r="BX486"/>
    </row>
    <row r="487" spans="24:76">
      <c r="X487" s="21"/>
      <c r="BX487"/>
    </row>
    <row r="488" spans="24:76">
      <c r="X488" s="21"/>
      <c r="BX488"/>
    </row>
    <row r="489" spans="24:76">
      <c r="X489" s="21"/>
      <c r="BX489"/>
    </row>
    <row r="490" spans="24:76">
      <c r="X490" s="21"/>
      <c r="BX490"/>
    </row>
    <row r="491" spans="24:76">
      <c r="X491" s="21"/>
      <c r="BX491"/>
    </row>
    <row r="492" spans="24:76">
      <c r="X492" s="21"/>
      <c r="BX492"/>
    </row>
    <row r="493" spans="24:76">
      <c r="X493" s="21"/>
      <c r="BX493"/>
    </row>
    <row r="494" spans="24:76">
      <c r="X494" s="21"/>
      <c r="BX494"/>
    </row>
    <row r="495" spans="24:76">
      <c r="X495" s="21"/>
      <c r="BX495"/>
    </row>
    <row r="496" spans="24:76">
      <c r="X496" s="21"/>
      <c r="BX496"/>
    </row>
    <row r="497" spans="24:76">
      <c r="X497" s="21"/>
      <c r="BX497"/>
    </row>
    <row r="498" spans="24:76">
      <c r="X498" s="21"/>
      <c r="BX498"/>
    </row>
    <row r="499" spans="24:76">
      <c r="X499" s="21"/>
      <c r="BX499"/>
    </row>
    <row r="500" spans="24:76">
      <c r="X500" s="21"/>
      <c r="BX500"/>
    </row>
    <row r="501" spans="24:76">
      <c r="X501" s="21"/>
      <c r="BX501"/>
    </row>
    <row r="502" spans="24:76">
      <c r="X502" s="21"/>
      <c r="BX502"/>
    </row>
    <row r="503" spans="24:76">
      <c r="X503" s="21"/>
      <c r="BX503"/>
    </row>
    <row r="504" spans="24:76">
      <c r="X504" s="21"/>
      <c r="BX504"/>
    </row>
    <row r="505" spans="24:76">
      <c r="X505" s="21"/>
      <c r="BX505"/>
    </row>
    <row r="506" spans="24:76">
      <c r="X506" s="21"/>
      <c r="BX506"/>
    </row>
    <row r="507" spans="24:76">
      <c r="X507" s="21"/>
      <c r="BX507"/>
    </row>
    <row r="508" spans="24:76">
      <c r="X508" s="21"/>
      <c r="BX508"/>
    </row>
    <row r="509" spans="24:76">
      <c r="X509" s="21"/>
      <c r="BX509"/>
    </row>
    <row r="510" spans="24:76">
      <c r="X510" s="21"/>
      <c r="BX510"/>
    </row>
    <row r="511" spans="24:76">
      <c r="X511" s="21"/>
      <c r="BX511"/>
    </row>
    <row r="512" spans="24:76">
      <c r="X512" s="21"/>
      <c r="BX512"/>
    </row>
    <row r="513" spans="24:76">
      <c r="X513" s="21"/>
      <c r="BX513"/>
    </row>
    <row r="514" spans="24:76">
      <c r="X514" s="21"/>
      <c r="BX514"/>
    </row>
    <row r="515" spans="24:76">
      <c r="X515" s="21"/>
      <c r="BX515"/>
    </row>
    <row r="516" spans="24:76">
      <c r="X516" s="21"/>
      <c r="BX516"/>
    </row>
    <row r="517" spans="24:76">
      <c r="X517" s="21"/>
      <c r="BX517"/>
    </row>
    <row r="518" spans="24:76">
      <c r="X518" s="21"/>
      <c r="BX518"/>
    </row>
    <row r="519" spans="24:76">
      <c r="X519" s="21"/>
      <c r="BX519"/>
    </row>
    <row r="520" spans="24:76">
      <c r="X520" s="21"/>
      <c r="BX520"/>
    </row>
    <row r="521" spans="24:76">
      <c r="X521" s="21"/>
      <c r="BX521"/>
    </row>
    <row r="522" spans="24:76">
      <c r="X522" s="21"/>
      <c r="BX522"/>
    </row>
    <row r="523" spans="24:76">
      <c r="X523" s="21"/>
      <c r="BX523"/>
    </row>
    <row r="524" spans="24:76">
      <c r="X524" s="21"/>
      <c r="BX524"/>
    </row>
    <row r="525" spans="24:76">
      <c r="X525" s="21"/>
      <c r="BX525"/>
    </row>
    <row r="526" spans="24:76">
      <c r="X526" s="21"/>
      <c r="BX526"/>
    </row>
    <row r="527" spans="24:76">
      <c r="X527" s="21"/>
      <c r="BX527"/>
    </row>
    <row r="528" spans="24:76">
      <c r="X528" s="21"/>
      <c r="BX528"/>
    </row>
    <row r="529" spans="24:76">
      <c r="X529" s="21"/>
      <c r="BX529"/>
    </row>
    <row r="530" spans="24:76">
      <c r="X530" s="21"/>
      <c r="BX530"/>
    </row>
    <row r="531" spans="24:76">
      <c r="X531" s="21"/>
      <c r="BX531"/>
    </row>
    <row r="532" spans="24:76">
      <c r="X532" s="21"/>
      <c r="BX532"/>
    </row>
    <row r="533" spans="24:76">
      <c r="X533" s="21"/>
      <c r="BX533"/>
    </row>
    <row r="534" spans="24:76">
      <c r="X534" s="21"/>
      <c r="BX534"/>
    </row>
    <row r="535" spans="24:76">
      <c r="X535" s="21"/>
      <c r="BX535"/>
    </row>
    <row r="536" spans="24:76">
      <c r="X536" s="21"/>
      <c r="BX536"/>
    </row>
    <row r="537" spans="24:76">
      <c r="X537" s="21"/>
      <c r="BX537"/>
    </row>
    <row r="538" spans="24:76">
      <c r="X538" s="21"/>
      <c r="BX538"/>
    </row>
    <row r="539" spans="24:76">
      <c r="X539" s="21"/>
      <c r="BX539"/>
    </row>
    <row r="540" spans="24:76">
      <c r="X540" s="21"/>
      <c r="BX540"/>
    </row>
    <row r="541" spans="24:76">
      <c r="X541" s="21"/>
      <c r="BX541"/>
    </row>
    <row r="542" spans="24:76">
      <c r="X542" s="21"/>
      <c r="BX542"/>
    </row>
    <row r="543" spans="24:76">
      <c r="X543" s="21"/>
      <c r="BX543"/>
    </row>
    <row r="544" spans="24:76">
      <c r="X544" s="21"/>
      <c r="BX544"/>
    </row>
    <row r="545" spans="24:76">
      <c r="X545" s="21"/>
      <c r="BX545"/>
    </row>
    <row r="546" spans="24:76">
      <c r="X546" s="21"/>
      <c r="BX546"/>
    </row>
    <row r="547" spans="24:76">
      <c r="X547" s="21"/>
      <c r="BX547"/>
    </row>
    <row r="548" spans="24:76">
      <c r="X548" s="21"/>
      <c r="BX548"/>
    </row>
    <row r="549" spans="24:76">
      <c r="X549" s="21"/>
      <c r="BX549"/>
    </row>
    <row r="550" spans="24:76">
      <c r="X550" s="21"/>
      <c r="BX550"/>
    </row>
    <row r="551" spans="24:76">
      <c r="X551" s="21"/>
      <c r="BX551"/>
    </row>
    <row r="552" spans="24:76">
      <c r="X552" s="21"/>
      <c r="BX552"/>
    </row>
    <row r="553" spans="24:76">
      <c r="X553" s="21"/>
      <c r="BX553"/>
    </row>
    <row r="554" spans="24:76">
      <c r="X554" s="21"/>
      <c r="BX554"/>
    </row>
    <row r="555" spans="24:76">
      <c r="X555" s="21"/>
      <c r="BX555"/>
    </row>
    <row r="556" spans="24:76">
      <c r="X556" s="21"/>
      <c r="BX556"/>
    </row>
    <row r="557" spans="24:76">
      <c r="X557" s="21"/>
      <c r="BX557"/>
    </row>
    <row r="558" spans="24:76">
      <c r="X558" s="21"/>
      <c r="BX558"/>
    </row>
    <row r="559" spans="24:76">
      <c r="X559" s="21"/>
      <c r="BX559"/>
    </row>
    <row r="560" spans="24:76">
      <c r="X560" s="21"/>
      <c r="BX560"/>
    </row>
    <row r="561" spans="24:76">
      <c r="X561" s="21"/>
      <c r="BX561"/>
    </row>
    <row r="562" spans="24:76">
      <c r="X562" s="21"/>
      <c r="BX562"/>
    </row>
    <row r="563" spans="24:76">
      <c r="X563" s="21"/>
      <c r="BX563"/>
    </row>
    <row r="564" spans="24:76">
      <c r="X564" s="21"/>
      <c r="BX564"/>
    </row>
    <row r="565" spans="24:76">
      <c r="X565" s="21"/>
      <c r="BX565"/>
    </row>
    <row r="566" spans="24:76">
      <c r="X566" s="21"/>
      <c r="BX566"/>
    </row>
    <row r="567" spans="24:76">
      <c r="X567" s="21"/>
      <c r="BX567"/>
    </row>
    <row r="568" spans="24:76">
      <c r="X568" s="21"/>
      <c r="BX568"/>
    </row>
    <row r="569" spans="24:76">
      <c r="X569" s="21"/>
      <c r="BX569"/>
    </row>
    <row r="570" spans="24:76">
      <c r="X570" s="21"/>
      <c r="BX570"/>
    </row>
    <row r="571" spans="24:76">
      <c r="X571" s="21"/>
      <c r="BX571"/>
    </row>
    <row r="572" spans="24:76">
      <c r="X572" s="21"/>
      <c r="BX572"/>
    </row>
    <row r="573" spans="24:76">
      <c r="X573" s="21"/>
      <c r="BX573"/>
    </row>
    <row r="574" spans="24:76">
      <c r="X574" s="21"/>
      <c r="BX574"/>
    </row>
    <row r="575" spans="24:76">
      <c r="X575" s="21"/>
      <c r="BX575"/>
    </row>
    <row r="576" spans="24:76">
      <c r="X576" s="21"/>
      <c r="BX576"/>
    </row>
    <row r="577" spans="24:76">
      <c r="X577" s="21"/>
      <c r="BX577"/>
    </row>
    <row r="578" spans="24:76">
      <c r="X578" s="21"/>
      <c r="BX578"/>
    </row>
    <row r="579" spans="24:76">
      <c r="X579" s="21"/>
      <c r="BX579"/>
    </row>
    <row r="580" spans="24:76">
      <c r="X580" s="21"/>
      <c r="BX580"/>
    </row>
    <row r="581" spans="24:76">
      <c r="X581" s="21"/>
      <c r="BX581"/>
    </row>
    <row r="582" spans="24:76">
      <c r="X582" s="21"/>
      <c r="BX582"/>
    </row>
    <row r="583" spans="24:76">
      <c r="X583" s="21"/>
      <c r="BX583"/>
    </row>
    <row r="584" spans="24:76">
      <c r="X584" s="21"/>
      <c r="BX584"/>
    </row>
    <row r="585" spans="24:76">
      <c r="X585" s="21"/>
      <c r="BX585"/>
    </row>
    <row r="586" spans="24:76">
      <c r="X586" s="21"/>
      <c r="BX586"/>
    </row>
    <row r="587" spans="24:76">
      <c r="X587" s="21"/>
      <c r="BX587"/>
    </row>
    <row r="588" spans="24:76">
      <c r="X588" s="21"/>
      <c r="BX588"/>
    </row>
    <row r="589" spans="24:76">
      <c r="X589" s="21"/>
      <c r="BX589"/>
    </row>
    <row r="590" spans="24:76">
      <c r="X590" s="21"/>
      <c r="BX590"/>
    </row>
    <row r="591" spans="24:76">
      <c r="X591" s="21"/>
      <c r="BX591"/>
    </row>
    <row r="592" spans="24:76">
      <c r="X592" s="21"/>
      <c r="BX592"/>
    </row>
    <row r="593" spans="24:76">
      <c r="X593" s="21"/>
      <c r="BX593"/>
    </row>
    <row r="594" spans="24:76">
      <c r="X594" s="21"/>
      <c r="BX594"/>
    </row>
    <row r="595" spans="24:76">
      <c r="X595" s="21"/>
      <c r="BX595"/>
    </row>
    <row r="596" spans="24:76">
      <c r="X596" s="21"/>
      <c r="BX596"/>
    </row>
    <row r="597" spans="24:76">
      <c r="X597" s="21"/>
      <c r="BX597"/>
    </row>
    <row r="598" spans="24:76">
      <c r="X598" s="21"/>
      <c r="BX598"/>
    </row>
    <row r="599" spans="24:76">
      <c r="X599" s="21"/>
      <c r="BX599"/>
    </row>
    <row r="600" spans="24:76">
      <c r="X600" s="21"/>
      <c r="BX600"/>
    </row>
    <row r="601" spans="24:76">
      <c r="X601" s="21"/>
      <c r="BX601"/>
    </row>
    <row r="602" spans="24:76">
      <c r="X602" s="21"/>
      <c r="BX602"/>
    </row>
    <row r="603" spans="24:76">
      <c r="X603" s="21"/>
      <c r="BX603"/>
    </row>
    <row r="604" spans="24:76">
      <c r="X604" s="21"/>
      <c r="BX604"/>
    </row>
    <row r="605" spans="24:76">
      <c r="X605" s="21"/>
      <c r="BX605"/>
    </row>
    <row r="606" spans="24:76">
      <c r="X606" s="21"/>
      <c r="BX606"/>
    </row>
    <row r="607" spans="24:76">
      <c r="X607" s="21"/>
      <c r="BX607"/>
    </row>
    <row r="608" spans="24:76">
      <c r="X608" s="21"/>
      <c r="BX608"/>
    </row>
    <row r="609" spans="24:76">
      <c r="X609" s="21"/>
      <c r="BX609"/>
    </row>
    <row r="610" spans="24:76">
      <c r="X610" s="21"/>
      <c r="BX610"/>
    </row>
    <row r="611" spans="24:76">
      <c r="X611" s="21"/>
      <c r="BX611"/>
    </row>
    <row r="612" spans="24:76">
      <c r="X612" s="21"/>
      <c r="BX612"/>
    </row>
    <row r="613" spans="24:76">
      <c r="X613" s="21"/>
      <c r="BX613"/>
    </row>
    <row r="614" spans="24:76">
      <c r="X614" s="21"/>
      <c r="BX614"/>
    </row>
    <row r="615" spans="24:76">
      <c r="X615" s="21"/>
      <c r="BX615"/>
    </row>
    <row r="616" spans="24:76">
      <c r="X616" s="21"/>
      <c r="BX616"/>
    </row>
    <row r="617" spans="24:76">
      <c r="X617" s="21"/>
      <c r="BX617"/>
    </row>
    <row r="618" spans="24:76">
      <c r="X618" s="21"/>
      <c r="BX618"/>
    </row>
    <row r="619" spans="24:76">
      <c r="X619" s="21"/>
      <c r="BX619"/>
    </row>
    <row r="620" spans="24:76">
      <c r="X620" s="21"/>
      <c r="BX620"/>
    </row>
    <row r="621" spans="24:76">
      <c r="X621" s="21"/>
      <c r="BX621"/>
    </row>
    <row r="622" spans="24:76">
      <c r="X622" s="21"/>
      <c r="BX622"/>
    </row>
    <row r="623" spans="24:76">
      <c r="X623" s="21"/>
      <c r="BX623"/>
    </row>
    <row r="624" spans="24:76">
      <c r="X624" s="21"/>
      <c r="BX624"/>
    </row>
    <row r="625" spans="24:76">
      <c r="X625" s="21"/>
      <c r="BX625"/>
    </row>
    <row r="626" spans="24:76">
      <c r="X626" s="21"/>
      <c r="BX626"/>
    </row>
    <row r="627" spans="24:76">
      <c r="X627" s="21"/>
      <c r="BX627"/>
    </row>
    <row r="628" spans="24:76">
      <c r="X628" s="21"/>
      <c r="BX628"/>
    </row>
    <row r="629" spans="24:76">
      <c r="X629" s="21"/>
      <c r="BX629"/>
    </row>
    <row r="630" spans="24:76">
      <c r="X630" s="21"/>
      <c r="BX630"/>
    </row>
    <row r="631" spans="24:76">
      <c r="X631" s="21"/>
      <c r="BX631"/>
    </row>
    <row r="632" spans="24:76">
      <c r="X632" s="21"/>
      <c r="BX632"/>
    </row>
    <row r="633" spans="24:76">
      <c r="X633" s="21"/>
      <c r="BX633"/>
    </row>
    <row r="634" spans="24:76">
      <c r="X634" s="21"/>
      <c r="BX634"/>
    </row>
    <row r="635" spans="24:76">
      <c r="X635" s="21"/>
      <c r="BX635"/>
    </row>
    <row r="636" spans="24:76">
      <c r="X636" s="21"/>
      <c r="BX636"/>
    </row>
    <row r="637" spans="24:76">
      <c r="X637" s="21"/>
      <c r="BX637"/>
    </row>
    <row r="638" spans="24:76">
      <c r="X638" s="21"/>
      <c r="BX638"/>
    </row>
    <row r="639" spans="24:76">
      <c r="X639" s="21"/>
      <c r="BX639"/>
    </row>
    <row r="640" spans="24:76">
      <c r="X640" s="21"/>
      <c r="BX640"/>
    </row>
    <row r="641" spans="24:76">
      <c r="X641" s="21"/>
      <c r="BX641"/>
    </row>
    <row r="642" spans="24:76">
      <c r="X642" s="21"/>
      <c r="BX642"/>
    </row>
    <row r="643" spans="24:76">
      <c r="X643" s="21"/>
      <c r="BX643"/>
    </row>
    <row r="644" spans="24:76">
      <c r="X644" s="21"/>
      <c r="BX644"/>
    </row>
    <row r="645" spans="24:76">
      <c r="X645" s="21"/>
      <c r="BX645"/>
    </row>
    <row r="646" spans="24:76">
      <c r="X646" s="21"/>
      <c r="BX646"/>
    </row>
    <row r="647" spans="24:76">
      <c r="X647" s="21"/>
      <c r="BX647"/>
    </row>
    <row r="648" spans="24:76">
      <c r="X648" s="21"/>
      <c r="BX648"/>
    </row>
    <row r="649" spans="24:76">
      <c r="X649" s="21"/>
      <c r="BX649"/>
    </row>
    <row r="650" spans="24:76">
      <c r="X650" s="21"/>
      <c r="BX650"/>
    </row>
    <row r="651" spans="24:76">
      <c r="X651" s="21"/>
      <c r="BX651"/>
    </row>
    <row r="652" spans="24:76">
      <c r="X652" s="21"/>
      <c r="BX652"/>
    </row>
    <row r="653" spans="24:76">
      <c r="X653" s="21"/>
      <c r="BX653"/>
    </row>
    <row r="654" spans="24:76">
      <c r="X654" s="21"/>
      <c r="BX654"/>
    </row>
    <row r="655" spans="24:76">
      <c r="X655" s="21"/>
      <c r="BX655"/>
    </row>
    <row r="656" spans="24:76">
      <c r="X656" s="21"/>
      <c r="BX656"/>
    </row>
    <row r="657" spans="24:76">
      <c r="X657" s="21"/>
      <c r="BX657"/>
    </row>
    <row r="658" spans="24:76">
      <c r="X658" s="21"/>
      <c r="BX658"/>
    </row>
    <row r="659" spans="24:76">
      <c r="X659" s="21"/>
      <c r="BX659"/>
    </row>
    <row r="660" spans="24:76">
      <c r="X660" s="21"/>
      <c r="BX660"/>
    </row>
    <row r="661" spans="24:76">
      <c r="X661" s="21"/>
      <c r="BX661"/>
    </row>
    <row r="662" spans="24:76">
      <c r="X662" s="21"/>
      <c r="BX662"/>
    </row>
    <row r="663" spans="24:76">
      <c r="X663" s="21"/>
      <c r="BX663"/>
    </row>
    <row r="664" spans="24:76">
      <c r="X664" s="21"/>
      <c r="BX664"/>
    </row>
    <row r="665" spans="24:76">
      <c r="X665" s="21"/>
      <c r="BX665"/>
    </row>
    <row r="666" spans="24:76">
      <c r="X666" s="21"/>
      <c r="BX666"/>
    </row>
    <row r="667" spans="24:76">
      <c r="X667" s="21"/>
      <c r="BX667"/>
    </row>
    <row r="668" spans="24:76">
      <c r="X668" s="21"/>
      <c r="BX668"/>
    </row>
    <row r="669" spans="24:76">
      <c r="X669" s="21"/>
      <c r="BX669"/>
    </row>
    <row r="670" spans="24:76">
      <c r="X670" s="21"/>
      <c r="BX670"/>
    </row>
    <row r="671" spans="24:76">
      <c r="X671" s="21"/>
      <c r="BX671"/>
    </row>
    <row r="672" spans="24:76">
      <c r="X672" s="21"/>
      <c r="BX672"/>
    </row>
    <row r="673" spans="24:76">
      <c r="X673" s="21"/>
      <c r="BX673"/>
    </row>
    <row r="674" spans="24:76">
      <c r="X674" s="21"/>
      <c r="BX674"/>
    </row>
    <row r="675" spans="24:76">
      <c r="X675" s="21"/>
      <c r="BX675"/>
    </row>
    <row r="676" spans="24:76">
      <c r="X676" s="21"/>
      <c r="BX676"/>
    </row>
    <row r="677" spans="24:76">
      <c r="X677" s="21"/>
      <c r="BX677"/>
    </row>
    <row r="678" spans="24:76">
      <c r="X678" s="21"/>
      <c r="BX678"/>
    </row>
    <row r="679" spans="24:76">
      <c r="X679" s="21"/>
      <c r="BX679"/>
    </row>
    <row r="680" spans="24:76">
      <c r="X680" s="21"/>
      <c r="BX680"/>
    </row>
    <row r="681" spans="24:76">
      <c r="X681" s="21"/>
      <c r="BX681"/>
    </row>
    <row r="682" spans="24:76">
      <c r="X682" s="21"/>
      <c r="BX682"/>
    </row>
    <row r="683" spans="24:76">
      <c r="X683" s="21"/>
      <c r="BX683"/>
    </row>
    <row r="684" spans="24:76">
      <c r="X684" s="21"/>
      <c r="BX684"/>
    </row>
    <row r="685" spans="24:76">
      <c r="X685" s="21"/>
      <c r="BX685"/>
    </row>
    <row r="686" spans="24:76">
      <c r="X686" s="21"/>
      <c r="BX686"/>
    </row>
    <row r="687" spans="24:76">
      <c r="X687" s="21"/>
      <c r="BX687"/>
    </row>
    <row r="688" spans="24:76">
      <c r="X688" s="21"/>
      <c r="BX688"/>
    </row>
    <row r="689" spans="24:76">
      <c r="X689" s="21"/>
      <c r="BX689"/>
    </row>
    <row r="690" spans="24:76">
      <c r="X690" s="21"/>
      <c r="BX690"/>
    </row>
    <row r="691" spans="24:76">
      <c r="X691" s="21"/>
      <c r="BX691"/>
    </row>
    <row r="692" spans="24:76">
      <c r="X692" s="21"/>
      <c r="BX692"/>
    </row>
    <row r="693" spans="24:76">
      <c r="X693" s="21"/>
      <c r="BX693"/>
    </row>
    <row r="694" spans="24:76">
      <c r="X694" s="21"/>
      <c r="BX694"/>
    </row>
    <row r="695" spans="24:76">
      <c r="X695" s="21"/>
      <c r="BX695"/>
    </row>
    <row r="696" spans="24:76">
      <c r="X696" s="21"/>
      <c r="BX696"/>
    </row>
    <row r="697" spans="24:76">
      <c r="X697" s="21"/>
      <c r="BX697"/>
    </row>
    <row r="698" spans="24:76">
      <c r="X698" s="21"/>
      <c r="BX698"/>
    </row>
    <row r="699" spans="24:76">
      <c r="X699" s="21"/>
      <c r="BX699"/>
    </row>
    <row r="700" spans="24:76">
      <c r="X700" s="21"/>
      <c r="BX700"/>
    </row>
    <row r="701" spans="24:76">
      <c r="X701" s="21"/>
      <c r="BX701"/>
    </row>
    <row r="702" spans="24:76">
      <c r="X702" s="21"/>
      <c r="BX702"/>
    </row>
    <row r="703" spans="24:76">
      <c r="X703" s="21"/>
      <c r="BX703"/>
    </row>
    <row r="704" spans="24:76">
      <c r="X704" s="21"/>
      <c r="BX704"/>
    </row>
    <row r="705" spans="24:76">
      <c r="X705" s="21"/>
      <c r="BX705"/>
    </row>
    <row r="706" spans="24:76">
      <c r="X706" s="21"/>
      <c r="BX706"/>
    </row>
    <row r="707" spans="24:76">
      <c r="X707" s="21"/>
      <c r="BX707"/>
    </row>
    <row r="708" spans="24:76">
      <c r="X708" s="21"/>
      <c r="BX708"/>
    </row>
    <row r="709" spans="24:76">
      <c r="X709" s="21"/>
      <c r="BX709"/>
    </row>
    <row r="710" spans="24:76">
      <c r="X710" s="21"/>
      <c r="BX710"/>
    </row>
    <row r="711" spans="24:76">
      <c r="X711" s="21"/>
      <c r="BX711"/>
    </row>
    <row r="712" spans="24:76">
      <c r="X712" s="21"/>
      <c r="BX712"/>
    </row>
    <row r="713" spans="24:76">
      <c r="X713" s="21"/>
      <c r="BX713"/>
    </row>
    <row r="714" spans="24:76">
      <c r="X714" s="21"/>
      <c r="BX714"/>
    </row>
    <row r="715" spans="24:76">
      <c r="X715" s="21"/>
      <c r="BX715"/>
    </row>
    <row r="716" spans="24:76">
      <c r="X716" s="21"/>
      <c r="BX716"/>
    </row>
    <row r="717" spans="24:76">
      <c r="X717" s="21"/>
      <c r="BX717"/>
    </row>
    <row r="718" spans="24:76">
      <c r="X718" s="21"/>
      <c r="BX718"/>
    </row>
    <row r="719" spans="24:76">
      <c r="X719" s="21"/>
      <c r="BX719"/>
    </row>
    <row r="720" spans="24:76">
      <c r="X720" s="21"/>
      <c r="BX720"/>
    </row>
    <row r="721" spans="24:76">
      <c r="X721" s="21"/>
      <c r="BX721"/>
    </row>
    <row r="722" spans="24:76">
      <c r="X722" s="21"/>
      <c r="BX722"/>
    </row>
    <row r="723" spans="24:76">
      <c r="X723" s="21"/>
      <c r="BX723"/>
    </row>
    <row r="724" spans="24:76">
      <c r="X724" s="21"/>
      <c r="BX724"/>
    </row>
    <row r="725" spans="24:76">
      <c r="X725" s="21"/>
      <c r="BX725"/>
    </row>
    <row r="726" spans="24:76">
      <c r="X726" s="21"/>
      <c r="BX726"/>
    </row>
    <row r="727" spans="24:76">
      <c r="X727" s="21"/>
      <c r="BX727"/>
    </row>
    <row r="728" spans="24:76">
      <c r="X728" s="21"/>
      <c r="BX728"/>
    </row>
    <row r="729" spans="24:76">
      <c r="X729" s="21"/>
      <c r="BX729"/>
    </row>
    <row r="730" spans="24:76">
      <c r="X730" s="21"/>
      <c r="BX730"/>
    </row>
    <row r="731" spans="24:76">
      <c r="X731" s="21"/>
      <c r="BX731"/>
    </row>
    <row r="732" spans="24:76">
      <c r="X732" s="21"/>
      <c r="BX732"/>
    </row>
    <row r="733" spans="24:76">
      <c r="X733" s="21"/>
      <c r="BX733"/>
    </row>
    <row r="734" spans="24:76">
      <c r="X734" s="21"/>
      <c r="BX734"/>
    </row>
    <row r="735" spans="24:76">
      <c r="X735" s="21"/>
      <c r="BX735"/>
    </row>
    <row r="736" spans="24:76">
      <c r="X736" s="21"/>
      <c r="BX736"/>
    </row>
    <row r="737" spans="24:76">
      <c r="X737" s="21"/>
      <c r="BX737"/>
    </row>
    <row r="738" spans="24:76">
      <c r="X738" s="21"/>
      <c r="BX738"/>
    </row>
    <row r="739" spans="24:76">
      <c r="X739" s="21"/>
      <c r="BX739"/>
    </row>
    <row r="740" spans="24:76">
      <c r="X740" s="21"/>
      <c r="BX740"/>
    </row>
    <row r="741" spans="24:76">
      <c r="X741" s="21"/>
      <c r="BX741"/>
    </row>
    <row r="742" spans="24:76">
      <c r="X742" s="21"/>
      <c r="BX742"/>
    </row>
    <row r="743" spans="24:76">
      <c r="X743" s="21"/>
      <c r="BX743"/>
    </row>
    <row r="744" spans="24:76">
      <c r="X744" s="21"/>
      <c r="BX744"/>
    </row>
    <row r="745" spans="24:76">
      <c r="X745" s="21"/>
      <c r="BX745"/>
    </row>
    <row r="746" spans="24:76">
      <c r="X746" s="21"/>
      <c r="BX746"/>
    </row>
    <row r="747" spans="24:76">
      <c r="X747" s="21"/>
      <c r="BX747"/>
    </row>
    <row r="748" spans="24:76">
      <c r="X748" s="21"/>
      <c r="BX748"/>
    </row>
    <row r="749" spans="24:76">
      <c r="X749" s="21"/>
      <c r="BX749"/>
    </row>
    <row r="750" spans="24:76">
      <c r="X750" s="21"/>
      <c r="BX750"/>
    </row>
    <row r="751" spans="24:76">
      <c r="X751" s="21"/>
      <c r="BX751"/>
    </row>
    <row r="752" spans="24:76">
      <c r="X752" s="21"/>
      <c r="BX752"/>
    </row>
    <row r="753" spans="24:76">
      <c r="X753" s="21"/>
      <c r="BX753"/>
    </row>
    <row r="754" spans="24:76">
      <c r="X754" s="21"/>
      <c r="BX754"/>
    </row>
    <row r="755" spans="24:76">
      <c r="X755" s="21"/>
      <c r="BX755"/>
    </row>
    <row r="756" spans="24:76">
      <c r="X756" s="21"/>
      <c r="BX756"/>
    </row>
    <row r="757" spans="24:76">
      <c r="X757" s="21"/>
      <c r="BX757"/>
    </row>
    <row r="758" spans="24:76">
      <c r="X758" s="21"/>
      <c r="BX758"/>
    </row>
    <row r="759" spans="24:76">
      <c r="X759" s="21"/>
      <c r="BX759"/>
    </row>
    <row r="760" spans="24:76">
      <c r="X760" s="21"/>
      <c r="BX760"/>
    </row>
    <row r="761" spans="24:76">
      <c r="X761" s="21"/>
      <c r="BX761"/>
    </row>
    <row r="762" spans="24:76">
      <c r="X762" s="21"/>
      <c r="BX762"/>
    </row>
    <row r="763" spans="24:76">
      <c r="X763" s="21"/>
      <c r="BX763"/>
    </row>
    <row r="764" spans="24:76">
      <c r="X764" s="21"/>
      <c r="BX764"/>
    </row>
    <row r="765" spans="24:76">
      <c r="X765" s="21"/>
      <c r="BX765"/>
    </row>
    <row r="766" spans="24:76">
      <c r="X766" s="21"/>
      <c r="BX766"/>
    </row>
    <row r="767" spans="24:76">
      <c r="X767" s="21"/>
      <c r="BX767"/>
    </row>
    <row r="768" spans="24:76">
      <c r="X768" s="21"/>
      <c r="BX768"/>
    </row>
    <row r="769" spans="24:76">
      <c r="X769" s="21"/>
      <c r="BX769"/>
    </row>
    <row r="770" spans="24:76">
      <c r="X770" s="21"/>
      <c r="BX770"/>
    </row>
    <row r="771" spans="24:76">
      <c r="X771" s="21"/>
      <c r="BX771"/>
    </row>
    <row r="772" spans="24:76">
      <c r="X772" s="21"/>
      <c r="BX772"/>
    </row>
    <row r="773" spans="24:76">
      <c r="X773" s="21"/>
      <c r="BX773"/>
    </row>
    <row r="774" spans="24:76">
      <c r="X774" s="21"/>
      <c r="BX774"/>
    </row>
    <row r="775" spans="24:76">
      <c r="X775" s="21"/>
      <c r="BX775"/>
    </row>
    <row r="776" spans="24:76">
      <c r="X776" s="21"/>
      <c r="BX776"/>
    </row>
    <row r="777" spans="24:76">
      <c r="X777" s="21"/>
      <c r="BX777"/>
    </row>
    <row r="778" spans="24:76">
      <c r="X778" s="21"/>
      <c r="BX778"/>
    </row>
    <row r="779" spans="24:76">
      <c r="X779" s="21"/>
      <c r="BX779"/>
    </row>
    <row r="780" spans="24:76">
      <c r="X780" s="21"/>
      <c r="BX780"/>
    </row>
    <row r="781" spans="24:76">
      <c r="X781" s="21"/>
      <c r="BX781"/>
    </row>
    <row r="782" spans="24:76">
      <c r="X782" s="21"/>
      <c r="BX782"/>
    </row>
    <row r="783" spans="24:76">
      <c r="X783" s="21"/>
      <c r="BX783"/>
    </row>
    <row r="784" spans="24:76">
      <c r="X784" s="21"/>
      <c r="BX784"/>
    </row>
    <row r="785" spans="24:76">
      <c r="X785" s="21"/>
      <c r="BX785"/>
    </row>
    <row r="786" spans="24:76">
      <c r="X786" s="21"/>
      <c r="BX786"/>
    </row>
    <row r="787" spans="24:76">
      <c r="X787" s="21"/>
      <c r="BX787"/>
    </row>
    <row r="788" spans="24:76">
      <c r="X788" s="21"/>
      <c r="BX788"/>
    </row>
    <row r="789" spans="24:76">
      <c r="X789" s="21"/>
      <c r="BX789"/>
    </row>
    <row r="790" spans="24:76">
      <c r="X790" s="21"/>
      <c r="BX790"/>
    </row>
    <row r="791" spans="24:76">
      <c r="X791" s="21"/>
      <c r="BX791"/>
    </row>
    <row r="792" spans="24:76">
      <c r="X792" s="21"/>
      <c r="BX792"/>
    </row>
    <row r="793" spans="24:76">
      <c r="X793" s="21"/>
      <c r="BX793"/>
    </row>
    <row r="794" spans="24:76">
      <c r="X794" s="21"/>
      <c r="BX794"/>
    </row>
    <row r="795" spans="24:76">
      <c r="X795" s="21"/>
      <c r="BX795"/>
    </row>
    <row r="796" spans="24:76">
      <c r="X796" s="21"/>
      <c r="BX796"/>
    </row>
    <row r="797" spans="24:76">
      <c r="X797" s="21"/>
      <c r="BX797"/>
    </row>
    <row r="798" spans="24:76">
      <c r="X798" s="21"/>
      <c r="BX798"/>
    </row>
    <row r="799" spans="24:76">
      <c r="X799" s="21"/>
      <c r="BX799"/>
    </row>
    <row r="800" spans="24:76">
      <c r="X800" s="21"/>
      <c r="BX800"/>
    </row>
    <row r="801" spans="24:76">
      <c r="X801" s="21"/>
      <c r="BX801"/>
    </row>
    <row r="802" spans="24:76">
      <c r="X802" s="21"/>
      <c r="BX802"/>
    </row>
    <row r="803" spans="24:76">
      <c r="X803" s="21"/>
      <c r="BX803"/>
    </row>
    <row r="804" spans="24:76">
      <c r="X804" s="21"/>
      <c r="BX804"/>
    </row>
    <row r="805" spans="24:76">
      <c r="X805" s="21"/>
      <c r="BX805"/>
    </row>
    <row r="806" spans="24:76">
      <c r="X806" s="21"/>
      <c r="BX806"/>
    </row>
    <row r="807" spans="24:76">
      <c r="X807" s="21"/>
      <c r="BX807"/>
    </row>
    <row r="808" spans="24:76">
      <c r="X808" s="21"/>
      <c r="BX808"/>
    </row>
    <row r="809" spans="24:76">
      <c r="X809" s="21"/>
      <c r="BX809"/>
    </row>
    <row r="810" spans="24:76">
      <c r="X810" s="21"/>
      <c r="BX810"/>
    </row>
    <row r="811" spans="24:76">
      <c r="X811" s="21"/>
      <c r="BX811"/>
    </row>
    <row r="812" spans="24:76">
      <c r="X812" s="21"/>
      <c r="BX812"/>
    </row>
    <row r="813" spans="24:76">
      <c r="X813" s="21"/>
      <c r="BX813"/>
    </row>
    <row r="814" spans="24:76">
      <c r="X814" s="21"/>
      <c r="BX814"/>
    </row>
    <row r="815" spans="24:76">
      <c r="X815" s="21"/>
      <c r="BX815"/>
    </row>
    <row r="816" spans="24:76">
      <c r="X816" s="21"/>
      <c r="BX816"/>
    </row>
    <row r="817" spans="24:76">
      <c r="X817" s="21"/>
      <c r="BX817"/>
    </row>
    <row r="818" spans="24:76">
      <c r="X818" s="21"/>
      <c r="BX818"/>
    </row>
    <row r="819" spans="24:76">
      <c r="X819" s="21"/>
      <c r="BX819"/>
    </row>
    <row r="820" spans="24:76">
      <c r="X820" s="21"/>
      <c r="BX820"/>
    </row>
    <row r="821" spans="24:76">
      <c r="X821" s="21"/>
      <c r="BX821"/>
    </row>
    <row r="822" spans="24:76">
      <c r="X822" s="21"/>
      <c r="BX822"/>
    </row>
    <row r="823" spans="24:76">
      <c r="X823" s="21"/>
      <c r="BX823"/>
    </row>
    <row r="824" spans="24:76">
      <c r="X824" s="21"/>
      <c r="BX824"/>
    </row>
    <row r="825" spans="24:76">
      <c r="X825" s="21"/>
      <c r="BX825"/>
    </row>
    <row r="826" spans="24:76">
      <c r="X826" s="21"/>
      <c r="BX826"/>
    </row>
    <row r="827" spans="24:76">
      <c r="X827" s="21"/>
      <c r="BX827"/>
    </row>
    <row r="828" spans="24:76">
      <c r="X828" s="21"/>
      <c r="BX828"/>
    </row>
    <row r="829" spans="24:76">
      <c r="X829" s="21"/>
      <c r="BX829"/>
    </row>
    <row r="830" spans="24:76">
      <c r="X830" s="21"/>
      <c r="BX830"/>
    </row>
    <row r="831" spans="24:76">
      <c r="X831" s="21"/>
      <c r="BX831"/>
    </row>
    <row r="832" spans="24:76">
      <c r="X832" s="21"/>
      <c r="BX832"/>
    </row>
    <row r="833" spans="24:76">
      <c r="X833" s="21"/>
      <c r="BX833"/>
    </row>
    <row r="834" spans="24:76">
      <c r="X834" s="21"/>
      <c r="BX834"/>
    </row>
    <row r="835" spans="24:76">
      <c r="X835" s="21"/>
      <c r="BX835"/>
    </row>
    <row r="836" spans="24:76">
      <c r="X836" s="21"/>
      <c r="BX836"/>
    </row>
    <row r="837" spans="24:76">
      <c r="X837" s="21"/>
      <c r="BX837"/>
    </row>
    <row r="838" spans="24:76">
      <c r="X838" s="21"/>
      <c r="BX838"/>
    </row>
    <row r="839" spans="24:76">
      <c r="X839" s="21"/>
      <c r="BX839"/>
    </row>
    <row r="840" spans="24:76">
      <c r="X840" s="21"/>
      <c r="BX840"/>
    </row>
    <row r="841" spans="24:76">
      <c r="X841" s="21"/>
      <c r="BX841"/>
    </row>
    <row r="842" spans="24:76">
      <c r="X842" s="21"/>
      <c r="BX842"/>
    </row>
    <row r="843" spans="24:76">
      <c r="X843" s="21"/>
      <c r="BX843"/>
    </row>
    <row r="844" spans="24:76">
      <c r="X844" s="21"/>
      <c r="BX844"/>
    </row>
    <row r="845" spans="24:76">
      <c r="X845" s="21"/>
      <c r="BX845"/>
    </row>
    <row r="846" spans="24:76">
      <c r="X846" s="21"/>
      <c r="BX846"/>
    </row>
    <row r="847" spans="24:76">
      <c r="X847" s="21"/>
      <c r="BX847"/>
    </row>
    <row r="848" spans="24:76">
      <c r="X848" s="21"/>
      <c r="BX848"/>
    </row>
    <row r="849" spans="24:76">
      <c r="X849" s="21"/>
      <c r="BX849"/>
    </row>
    <row r="850" spans="24:76">
      <c r="X850" s="21"/>
      <c r="BX850"/>
    </row>
    <row r="851" spans="24:76">
      <c r="X851" s="21"/>
      <c r="BX851"/>
    </row>
    <row r="852" spans="24:76">
      <c r="X852" s="21"/>
      <c r="BX852"/>
    </row>
    <row r="853" spans="24:76">
      <c r="X853" s="21"/>
      <c r="BX853"/>
    </row>
    <row r="854" spans="24:76">
      <c r="X854" s="21"/>
      <c r="BX854"/>
    </row>
    <row r="855" spans="24:76">
      <c r="X855" s="21"/>
      <c r="BX855"/>
    </row>
    <row r="856" spans="24:76">
      <c r="X856" s="21"/>
      <c r="BX856"/>
    </row>
    <row r="857" spans="24:76">
      <c r="X857" s="21"/>
      <c r="BX857"/>
    </row>
    <row r="858" spans="24:76">
      <c r="X858" s="21"/>
      <c r="BX858"/>
    </row>
    <row r="859" spans="24:76">
      <c r="X859" s="21"/>
      <c r="BX859"/>
    </row>
    <row r="860" spans="24:76">
      <c r="X860" s="21"/>
      <c r="BX860"/>
    </row>
    <row r="861" spans="24:76">
      <c r="X861" s="21"/>
      <c r="BX861"/>
    </row>
    <row r="862" spans="24:76">
      <c r="X862" s="21"/>
      <c r="BX862"/>
    </row>
    <row r="863" spans="24:76">
      <c r="X863" s="21"/>
      <c r="BX863"/>
    </row>
    <row r="864" spans="24:76">
      <c r="X864" s="21"/>
      <c r="BX864"/>
    </row>
    <row r="865" spans="24:76">
      <c r="X865" s="21"/>
      <c r="BX865"/>
    </row>
    <row r="866" spans="24:76">
      <c r="X866" s="21"/>
      <c r="BX866"/>
    </row>
    <row r="867" spans="24:76">
      <c r="X867" s="21"/>
      <c r="BX867"/>
    </row>
    <row r="868" spans="24:76">
      <c r="X868" s="21"/>
      <c r="BX868"/>
    </row>
    <row r="869" spans="24:76">
      <c r="X869" s="21"/>
      <c r="BX869"/>
    </row>
    <row r="870" spans="24:76">
      <c r="X870" s="21"/>
      <c r="BX870"/>
    </row>
    <row r="871" spans="24:76">
      <c r="X871" s="21"/>
      <c r="BX871"/>
    </row>
    <row r="872" spans="24:76">
      <c r="X872" s="21"/>
      <c r="BX872"/>
    </row>
    <row r="873" spans="24:76">
      <c r="X873" s="21"/>
      <c r="BX873"/>
    </row>
    <row r="874" spans="24:76">
      <c r="X874" s="21"/>
      <c r="BX874"/>
    </row>
    <row r="875" spans="24:76">
      <c r="X875" s="21"/>
      <c r="BX875"/>
    </row>
    <row r="876" spans="24:76">
      <c r="X876" s="21"/>
      <c r="BX876"/>
    </row>
    <row r="877" spans="24:76">
      <c r="X877" s="21"/>
      <c r="BX877"/>
    </row>
    <row r="878" spans="24:76">
      <c r="X878" s="21"/>
      <c r="BX878"/>
    </row>
    <row r="879" spans="24:76">
      <c r="X879" s="21"/>
      <c r="BX879"/>
    </row>
    <row r="880" spans="24:76">
      <c r="X880" s="21"/>
      <c r="BX880"/>
    </row>
    <row r="881" spans="24:76">
      <c r="X881" s="21"/>
      <c r="BX881"/>
    </row>
    <row r="882" spans="24:76">
      <c r="X882" s="21"/>
      <c r="BX882"/>
    </row>
    <row r="883" spans="24:76">
      <c r="X883" s="21"/>
      <c r="BX883"/>
    </row>
    <row r="884" spans="24:76">
      <c r="X884" s="21"/>
      <c r="BX884"/>
    </row>
    <row r="885" spans="24:76">
      <c r="X885" s="21"/>
      <c r="BX885"/>
    </row>
    <row r="886" spans="24:76">
      <c r="X886" s="21"/>
      <c r="BX886"/>
    </row>
    <row r="887" spans="24:76">
      <c r="X887" s="21"/>
      <c r="BX887"/>
    </row>
    <row r="888" spans="24:76">
      <c r="X888" s="21"/>
      <c r="BX888"/>
    </row>
    <row r="889" spans="24:76">
      <c r="X889" s="21"/>
      <c r="BX889"/>
    </row>
    <row r="890" spans="24:76">
      <c r="X890" s="21"/>
      <c r="BX890"/>
    </row>
    <row r="891" spans="24:76">
      <c r="X891" s="21"/>
      <c r="BX891"/>
    </row>
    <row r="892" spans="24:76">
      <c r="X892" s="21"/>
      <c r="BX892"/>
    </row>
    <row r="893" spans="24:76">
      <c r="X893" s="21"/>
      <c r="BX893"/>
    </row>
    <row r="894" spans="24:76">
      <c r="X894" s="21"/>
      <c r="BX894"/>
    </row>
    <row r="895" spans="24:76">
      <c r="X895" s="21"/>
      <c r="BX895"/>
    </row>
    <row r="896" spans="24:76">
      <c r="X896" s="21"/>
      <c r="BX896"/>
    </row>
    <row r="897" spans="24:76">
      <c r="X897" s="21"/>
      <c r="BX897"/>
    </row>
    <row r="898" spans="24:76">
      <c r="X898" s="21"/>
      <c r="BX898"/>
    </row>
    <row r="899" spans="24:76">
      <c r="X899" s="21"/>
      <c r="BX899"/>
    </row>
    <row r="900" spans="24:76">
      <c r="X900" s="21"/>
      <c r="BX900"/>
    </row>
  </sheetData>
  <sheetProtection sheet="1" objects="1" scenarios="1"/>
  <mergeCells count="12">
    <mergeCell ref="B2:B3"/>
    <mergeCell ref="BB3:BC4"/>
    <mergeCell ref="BD3:BD4"/>
    <mergeCell ref="B14:C15"/>
    <mergeCell ref="Z15:Z16"/>
    <mergeCell ref="AA15:AA16"/>
    <mergeCell ref="Z18:Z19"/>
    <mergeCell ref="AA18:AA19"/>
    <mergeCell ref="Z21:Z22"/>
    <mergeCell ref="AA21:AA22"/>
    <mergeCell ref="Z24:Z25"/>
    <mergeCell ref="AA24:AA25"/>
  </mergeCells>
  <pageMargins left="0.7" right="0.7" top="0.75" bottom="0.75" header="0.3" footer="0.3"/>
  <pageSetup orientation="portrait" r:id="rId1"/>
  <drawing r:id="rId2"/>
  <tableParts count="8">
    <tablePart r:id="rId3"/>
    <tablePart r:id="rId4"/>
    <tablePart r:id="rId5"/>
    <tablePart r:id="rId6"/>
    <tablePart r:id="rId7"/>
    <tablePart r:id="rId8"/>
    <tablePart r:id="rId9"/>
    <tablePart r:id="rId10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8000"/>
  </sheetPr>
  <dimension ref="A1:CO900"/>
  <sheetViews>
    <sheetView showZeros="0" zoomScaleNormal="100" workbookViewId="0">
      <selection activeCell="C117" sqref="C117"/>
    </sheetView>
  </sheetViews>
  <sheetFormatPr defaultColWidth="8.77734375" defaultRowHeight="14.4"/>
  <cols>
    <col min="1" max="1" width="2.6640625" style="4" customWidth="1"/>
    <col min="2" max="2" width="48.6640625" style="4" customWidth="1"/>
    <col min="3" max="3" width="2.77734375" style="4" customWidth="1"/>
    <col min="4" max="4" width="53.44140625" style="4" customWidth="1"/>
    <col min="5" max="5" width="5.6640625" style="4" customWidth="1"/>
    <col min="6" max="6" width="53.44140625" style="4" customWidth="1"/>
    <col min="7" max="7" width="5.6640625" style="4" customWidth="1"/>
    <col min="8" max="8" width="53.44140625" style="4" customWidth="1"/>
    <col min="9" max="9" width="5.6640625" style="4" customWidth="1"/>
    <col min="10" max="10" width="53.44140625" style="4" customWidth="1"/>
    <col min="11" max="23" width="77.6640625" style="4" customWidth="1"/>
    <col min="24" max="24" width="3.6640625" customWidth="1"/>
    <col min="25" max="25" width="8.6640625" style="4" customWidth="1"/>
    <col min="27" max="27" width="30.6640625" customWidth="1"/>
    <col min="36" max="36" width="30.6640625" customWidth="1"/>
    <col min="43" max="43" width="8.6640625" style="4" customWidth="1"/>
    <col min="44" max="44" width="8.77734375" style="4"/>
    <col min="45" max="45" width="21.6640625" customWidth="1"/>
    <col min="47" max="47" width="9.109375" customWidth="1"/>
    <col min="52" max="53" width="5.6640625" customWidth="1"/>
    <col min="54" max="54" width="21.6640625" customWidth="1"/>
    <col min="55" max="55" width="8.77734375" customWidth="1"/>
    <col min="56" max="60" width="10.6640625" customWidth="1"/>
    <col min="61" max="61" width="36.109375" customWidth="1"/>
    <col min="62" max="63" width="10.6640625" customWidth="1"/>
    <col min="64" max="64" width="10.44140625" customWidth="1"/>
    <col min="65" max="66" width="10.6640625" customWidth="1"/>
    <col min="67" max="67" width="9.77734375" customWidth="1"/>
    <col min="68" max="68" width="31.77734375" customWidth="1"/>
    <col min="69" max="72" width="10.6640625" customWidth="1"/>
    <col min="73" max="73" width="10.44140625" customWidth="1"/>
    <col min="74" max="74" width="5.6640625" customWidth="1"/>
    <col min="76" max="76" width="15.77734375" style="1" customWidth="1"/>
    <col min="77" max="77" width="9.44140625" customWidth="1"/>
    <col min="78" max="78" width="25.33203125" customWidth="1"/>
    <col min="86" max="86" width="9.44140625" customWidth="1"/>
    <col min="87" max="87" width="25.33203125" customWidth="1"/>
  </cols>
  <sheetData>
    <row r="1" spans="1:76" ht="14.25" customHeight="1">
      <c r="B1" s="7"/>
      <c r="C1" s="6"/>
      <c r="D1" s="6"/>
      <c r="E1" s="6"/>
      <c r="F1" s="6"/>
      <c r="I1" s="6"/>
      <c r="K1" s="7"/>
      <c r="L1" s="7"/>
      <c r="M1" s="7"/>
      <c r="N1" s="7"/>
      <c r="O1" s="7"/>
      <c r="P1" s="7"/>
      <c r="Q1" s="7"/>
      <c r="X1" s="21"/>
      <c r="Y1" s="6"/>
      <c r="Z1" s="8" t="s">
        <v>21</v>
      </c>
      <c r="AA1" s="8" t="s">
        <v>20</v>
      </c>
      <c r="AB1" s="8">
        <f>Date_Control!$C$21</f>
        <v>2021</v>
      </c>
      <c r="AC1" s="8">
        <f>Date_Control!$C$20</f>
        <v>2022</v>
      </c>
      <c r="AD1" s="8">
        <f>Date_Control!$C$19</f>
        <v>2023</v>
      </c>
      <c r="AE1" s="8">
        <f>Date_Control!$C$18</f>
        <v>2024</v>
      </c>
      <c r="AF1" s="8">
        <f>Date_Control!$C$17</f>
        <v>2025</v>
      </c>
      <c r="AG1" s="8">
        <f>Date_Control!$C$16</f>
        <v>2026</v>
      </c>
      <c r="AI1" s="12" t="s">
        <v>21</v>
      </c>
      <c r="AJ1" s="12" t="s">
        <v>20</v>
      </c>
      <c r="AK1" s="12">
        <f>Date_Control!$C$21</f>
        <v>2021</v>
      </c>
      <c r="AL1" s="12">
        <f>Date_Control!$C$20</f>
        <v>2022</v>
      </c>
      <c r="AM1" s="12">
        <f>Date_Control!$C$19</f>
        <v>2023</v>
      </c>
      <c r="AN1" s="12">
        <f>Date_Control!$C$18</f>
        <v>2024</v>
      </c>
      <c r="AO1" s="12">
        <f>Date_Control!$C$17</f>
        <v>2025</v>
      </c>
      <c r="AP1" s="12">
        <f>Date_Control!$C$16</f>
        <v>2026</v>
      </c>
      <c r="AQ1" s="6"/>
      <c r="BX1"/>
    </row>
    <row r="2" spans="1:76" s="10" customFormat="1" ht="19.2" customHeight="1">
      <c r="A2" s="9"/>
      <c r="B2" s="169" t="str">
        <f>Date_Control!$B$4</f>
        <v>JULY 2026</v>
      </c>
      <c r="C2" s="4"/>
      <c r="D2" s="60" t="str">
        <f>IF(Main_Page!$C$10="Click Here to Select District", "No District Selected", $AA$2)</f>
        <v>No District Selected</v>
      </c>
      <c r="E2" s="4"/>
      <c r="F2" s="35" t="str">
        <f>IF(Main_Page!$C$10="Click Here to Select District", "No District Selected", $AA$2)</f>
        <v>No District Selected</v>
      </c>
      <c r="H2" s="62" t="str">
        <f>IF(Main_Page!$C$10="Click Here to Select District", "No District Selected", $AA$2)</f>
        <v>No District Selected</v>
      </c>
      <c r="I2" s="4"/>
      <c r="J2" s="62" t="str">
        <f>IF(Main_Page!$C$10="Click Here to Select District", "No District Selected", $AA$2)</f>
        <v>No District Selected</v>
      </c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37"/>
      <c r="Y2" s="4"/>
      <c r="Z2" s="38" t="str">
        <f t="array" ref="Z2">IFERROR(INDEX(Support1a[Unit],SMALL(IF(Support1a[Unit]=$BD$3,ROW(Support1a[])-MIN(ROW(Support1a[]))+1),AH2)), "")</f>
        <v/>
      </c>
      <c r="AA2" s="39" t="e">
        <f t="array" ref="AA2">INDEX(Support1a[Name],SMALL(IF(Support1a[Unit]=$BD$3,ROW(Support1a[])-MIN(ROW(Support1a[]))+1),AH2))</f>
        <v>#NUM!</v>
      </c>
      <c r="AB2" s="40" t="str">
        <f t="array" ref="AB2">IFERROR(INDEX(Support1a[Column1],SMALL(IF(Support1a[Unit]=$BD$3,ROW(Support1a[])-MIN(ROW(Support1a[]))+1),AH2)), "")</f>
        <v/>
      </c>
      <c r="AC2" s="40" t="str">
        <f t="array" ref="AC2">IFERROR(INDEX(Support1a[Column2],SMALL(IF(Support1a[Unit]=$BD$3,ROW(Support1a[])-MIN(ROW(Support1a[]))+1),AH2)), "")</f>
        <v/>
      </c>
      <c r="AD2" s="40" t="str">
        <f t="array" ref="AD2">IFERROR(INDEX(Support1a[Column3],SMALL(IF(Support1a[Unit]=$BD$3,ROW(Support1a[])-MIN(ROW(Support1a[]))+1),AH2)), "")</f>
        <v/>
      </c>
      <c r="AE2" s="40" t="str">
        <f t="array" ref="AE2">IFERROR(INDEX(Support1a[Column4],SMALL(IF(Support1a[Unit]=$BD$3,ROW(Support1a[])-MIN(ROW(Support1a[]))+1),AH2)), "")</f>
        <v/>
      </c>
      <c r="AF2" s="40" t="str">
        <f t="array" ref="AF2">IFERROR(INDEX(Support1a[Column5],SMALL(IF(Support1a[Unit]=$BD$3,ROW(Support1a[])-MIN(ROW(Support1a[]))+1),AH2)), "")</f>
        <v/>
      </c>
      <c r="AG2" s="40" t="str">
        <f t="array" ref="AG2">IFERROR(INDEX(Support1a[Column6],SMALL(IF(Support1a[Unit]=$BD$3,ROW(Support1a[])-MIN(ROW(Support1a[]))+1),AH2)), "")</f>
        <v/>
      </c>
      <c r="AH2" s="41">
        <v>1</v>
      </c>
      <c r="AI2" s="42" t="str">
        <f t="array" ref="AI2">IFERROR(INDEX(Support1b[Unit],SMALL(IF(Support1b[Unit]=$BD$3,ROW(Support1b[])-MIN(ROW(Support1b[]))+1),AH2)), "")</f>
        <v/>
      </c>
      <c r="AJ2" s="42" t="str">
        <f t="array" ref="AJ2">IFERROR(INDEX(Support1b[Name],SMALL(IF(Support1b[Unit]=$BD$3,ROW(Support1b[])-MIN(ROW(Support1b[]))+1),AH2)), "")</f>
        <v/>
      </c>
      <c r="AK2" s="43" t="str">
        <f t="array" ref="AK2">IFERROR(INDEX(Support1b[Column1],SMALL(IF(Support1b[Unit]=$BD$3,ROW(Support1b[])-MIN(ROW(Support1b[]))+1),AH2)), "")</f>
        <v/>
      </c>
      <c r="AL2" s="43" t="str">
        <f t="array" ref="AL2">IFERROR(INDEX(Support1b[Column2],SMALL(IF(Support1b[Unit]=$BD$3,ROW(Support1b[])-MIN(ROW(Support1b[]))+1),AH2)), "")</f>
        <v/>
      </c>
      <c r="AM2" s="43" t="str">
        <f t="array" ref="AM2">IFERROR(INDEX(Support1b[Column3],SMALL(IF(Support1b[Unit]=$BD$3,ROW(Support1b[])-MIN(ROW(Support1b[]))+1),AH2)), "")</f>
        <v/>
      </c>
      <c r="AN2" s="43" t="str">
        <f t="array" ref="AN2">IFERROR(INDEX(Support1b[Column4],SMALL(IF(Support1b[Unit]=$BD$3,ROW(Support1b[])-MIN(ROW(Support1b[]))+1),AH2)), "")</f>
        <v/>
      </c>
      <c r="AO2" s="43" t="str">
        <f t="array" ref="AO2">IFERROR(INDEX(Support1b[Column5],SMALL(IF(Support1b[Unit]=$BD$3,ROW(Support1b[])-MIN(ROW(Support1b[]))+1),AH2)), "")</f>
        <v/>
      </c>
      <c r="AP2" s="43" t="str">
        <f t="array" ref="AP2">IFERROR(INDEX(Support1b[Column6],SMALL(IF(Support1b[Unit]=$BD$3,ROW(Support1b[])-MIN(ROW(Support1b[]))+1),AH2)), "")</f>
        <v/>
      </c>
      <c r="AQ2" s="4"/>
      <c r="AR2" s="4"/>
      <c r="AS2"/>
      <c r="AT2" s="32">
        <f>Date_Control!$C$21</f>
        <v>2021</v>
      </c>
      <c r="AU2" s="32">
        <f>Date_Control!$C$20</f>
        <v>2022</v>
      </c>
      <c r="AV2" s="32">
        <f>Date_Control!$C$19</f>
        <v>2023</v>
      </c>
      <c r="AW2" s="32">
        <f>Date_Control!$C$18</f>
        <v>2024</v>
      </c>
      <c r="AX2" s="32">
        <f>Date_Control!$C$17</f>
        <v>2025</v>
      </c>
      <c r="AY2" s="32">
        <f>Date_Control!$C$16</f>
        <v>2026</v>
      </c>
      <c r="AZ2"/>
      <c r="BA2"/>
      <c r="BD2" s="44">
        <f>IF($BL1="T", MAX(BD8:BD103), 0)</f>
        <v>0</v>
      </c>
      <c r="BE2" s="44">
        <f>IF($BL1="T", MAX(BE8:BE103), 0)</f>
        <v>0</v>
      </c>
      <c r="BF2" s="44">
        <f t="shared" ref="BF2:BU2" si="0">IF($BL1="T", MAX(BF4:BF103), 0)</f>
        <v>0</v>
      </c>
      <c r="BJ2" s="44">
        <f t="shared" si="0"/>
        <v>0</v>
      </c>
      <c r="BK2" s="44">
        <f t="shared" si="0"/>
        <v>0</v>
      </c>
      <c r="BL2" s="44">
        <f t="shared" si="0"/>
        <v>0</v>
      </c>
      <c r="BM2" s="44">
        <f t="shared" si="0"/>
        <v>0</v>
      </c>
      <c r="BN2" s="44">
        <f t="shared" si="0"/>
        <v>0</v>
      </c>
      <c r="BQ2"/>
      <c r="BR2"/>
      <c r="BS2"/>
      <c r="BT2" s="44">
        <f t="shared" si="0"/>
        <v>0</v>
      </c>
      <c r="BU2" s="44">
        <f t="shared" si="0"/>
        <v>0</v>
      </c>
      <c r="BX2"/>
    </row>
    <row r="3" spans="1:76" ht="14.55" customHeight="1">
      <c r="B3" s="170"/>
      <c r="C3" s="7"/>
      <c r="D3" s="7"/>
      <c r="E3" s="7"/>
      <c r="F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21"/>
      <c r="Y3" s="7"/>
      <c r="Z3" s="38" t="str">
        <f t="array" ref="Z3">IFERROR(INDEX(Support2a[Unit],SMALL(IF(Support2a[Unit]=$BD$3,ROW(Support2a[])-MIN(ROW(Support2a[]))+1),AH3)), "")</f>
        <v/>
      </c>
      <c r="AA3" s="39" t="e">
        <f t="array" ref="AA3">INDEX(Support2a[Name],SMALL(IF(Support2a[Unit]=$BD$3,ROW(Support2a[])-MIN(ROW(Support2a[]))+1),AH3))</f>
        <v>#NUM!</v>
      </c>
      <c r="AB3" s="40" t="str">
        <f t="array" ref="AB3">IFERROR(INDEX(Support2a[Column1],SMALL(IF(Support2a[Unit]=$BD$3,ROW(Support2a[])-MIN(ROW(Support2a[]))+1),AH3)), "")</f>
        <v/>
      </c>
      <c r="AC3" s="40" t="str">
        <f t="array" ref="AC3">IFERROR(INDEX(Support2a[Column2],SMALL(IF(Support2a[Unit]=$BD$3,ROW(Support2a[])-MIN(ROW(Support2a[]))+1),AH3)), "")</f>
        <v/>
      </c>
      <c r="AD3" s="40" t="str">
        <f t="array" ref="AD3">IFERROR(INDEX(Support2a[Column3],SMALL(IF(Support2a[Unit]=$BD$3,ROW(Support2a[])-MIN(ROW(Support2a[]))+1),AH3)), "")</f>
        <v/>
      </c>
      <c r="AE3" s="40" t="str">
        <f t="array" ref="AE3">IFERROR(INDEX(Support2a[Column4],SMALL(IF(Support2a[Unit]=$BD$3,ROW(Support2a[])-MIN(ROW(Support2a[]))+1),AH3)), "")</f>
        <v/>
      </c>
      <c r="AF3" s="40" t="str">
        <f t="array" ref="AF3">IFERROR(INDEX(Support2a[Column5],SMALL(IF(Support2a[Unit]=$BD$3,ROW(Support2a[])-MIN(ROW(Support2a[]))+1),AH3)), "")</f>
        <v/>
      </c>
      <c r="AG3" s="40" t="str">
        <f t="array" ref="AG3">IFERROR(INDEX(Support2a[Column6],SMALL(IF(Support2a[Unit]=$BD$3,ROW(Support2a[])-MIN(ROW(Support2a[]))+1),AH3)), "")</f>
        <v/>
      </c>
      <c r="AH3" s="41">
        <v>1</v>
      </c>
      <c r="AI3" s="42" t="str">
        <f t="array" ref="AI3">IFERROR(INDEX(Support2b[Unit],SMALL(IF(Support2b[Unit]=$BD$3,ROW(Support2b[])-MIN(ROW(Support2b[]))+1),AH3)), "")</f>
        <v/>
      </c>
      <c r="AJ3" s="42" t="str">
        <f t="array" ref="AJ3">IFERROR(INDEX(Support2b[Name],SMALL(IF(Support2b[Unit]=$BD$3,ROW(Support2b[])-MIN(ROW(Support2b[]))+1),AH3)), "")</f>
        <v/>
      </c>
      <c r="AK3" s="43" t="str">
        <f t="array" ref="AK3">IFERROR(INDEX(Support2b[Column1],SMALL(IF(Support2b[Unit]=$BD$3,ROW(Support2b[])-MIN(ROW(Support2b[]))+1),AH3)), "")</f>
        <v/>
      </c>
      <c r="AL3" s="43" t="str">
        <f t="array" ref="AL3">IFERROR(INDEX(Support2b[Column2],SMALL(IF(Support2b[Unit]=$BD$3,ROW(Support2b[])-MIN(ROW(Support2b[]))+1),AH3)), "")</f>
        <v/>
      </c>
      <c r="AM3" s="43" t="str">
        <f t="array" ref="AM3">IFERROR(INDEX(Support2b[Column3],SMALL(IF(Support2b[Unit]=$BD$3,ROW(Support2b[])-MIN(ROW(Support2b[]))+1),AH3)), "")</f>
        <v/>
      </c>
      <c r="AN3" s="43" t="str">
        <f t="array" ref="AN3">IFERROR(INDEX(Support2b[Column4],SMALL(IF(Support2b[Unit]=$BD$3,ROW(Support2b[])-MIN(ROW(Support2b[]))+1),AH3)), "")</f>
        <v/>
      </c>
      <c r="AO3" s="43" t="str">
        <f t="array" ref="AO3">IFERROR(INDEX(Support2b[Column5],SMALL(IF(Support2b[Unit]=$BD$3,ROW(Support2b[])-MIN(ROW(Support2b[]))+1),AH3)), "")</f>
        <v/>
      </c>
      <c r="AP3" s="43" t="str">
        <f t="array" ref="AP3">IFERROR(INDEX(Support2b[Column6],SMALL(IF(Support2b[Unit]=$BD$3,ROW(Support2b[])-MIN(ROW(Support2b[]))+1),AH3)), "")</f>
        <v/>
      </c>
      <c r="AQ3" s="7"/>
      <c r="AR3" t="s">
        <v>32</v>
      </c>
      <c r="AS3" s="59" t="s">
        <v>16</v>
      </c>
      <c r="AT3" s="17" t="str">
        <f t="shared" ref="AT3:AY3" si="1">AB2</f>
        <v/>
      </c>
      <c r="AU3" s="17" t="str">
        <f t="shared" si="1"/>
        <v/>
      </c>
      <c r="AV3" s="17" t="str">
        <f t="shared" si="1"/>
        <v/>
      </c>
      <c r="AW3" s="17" t="str">
        <f t="shared" si="1"/>
        <v/>
      </c>
      <c r="AX3" s="17" t="str">
        <f t="shared" si="1"/>
        <v/>
      </c>
      <c r="AY3" s="17" t="str">
        <f t="shared" si="1"/>
        <v/>
      </c>
      <c r="BB3" s="161" t="s">
        <v>47</v>
      </c>
      <c r="BC3" s="164"/>
      <c r="BD3" s="162" t="str">
        <f>LEFT(Main_Page!$C$10,3)</f>
        <v>Cli</v>
      </c>
      <c r="BX3"/>
    </row>
    <row r="4" spans="1:76" ht="14.55" customHeight="1">
      <c r="X4" s="21"/>
      <c r="Z4" s="38" t="str">
        <f t="array" ref="Z4">IFERROR(INDEX(Support3a[Unit],SMALL(IF(Support3a[Unit]=$BD$3,ROW(Support3a[])-MIN(ROW(Support3a[]))+1),AH4)), "")</f>
        <v/>
      </c>
      <c r="AA4" s="39" t="e">
        <f t="array" ref="AA4">INDEX(Support3a[Name],SMALL(IF(Support3a[Unit]=$BD$3,ROW(Support3a[])-MIN(ROW(Support3a[]))+1),AH4))</f>
        <v>#NUM!</v>
      </c>
      <c r="AB4" s="40" t="str">
        <f t="array" ref="AB4">IFERROR(INDEX(Support3a[Column1],SMALL(IF(Support3a[Unit]=$BD$3,ROW(Support3a[])-MIN(ROW(Support3a[]))+1),AH4)), "")</f>
        <v/>
      </c>
      <c r="AC4" s="40" t="str">
        <f t="array" ref="AC4">IFERROR(INDEX(Support3a[Column2],SMALL(IF(Support3a[Unit]=$BD$3,ROW(Support3a[])-MIN(ROW(Support3a[]))+1),AH4)), "")</f>
        <v/>
      </c>
      <c r="AD4" s="40" t="str">
        <f t="array" ref="AD4">IFERROR(INDEX(Support3a[Column3],SMALL(IF(Support3a[Unit]=$BD$3,ROW(Support3a[])-MIN(ROW(Support3a[]))+1),AH4)), "")</f>
        <v/>
      </c>
      <c r="AE4" s="40" t="str">
        <f t="array" ref="AE4">IFERROR(INDEX(Support3a[Column4],SMALL(IF(Support3a[Unit]=$BD$3,ROW(Support3a[])-MIN(ROW(Support3a[]))+1),AH4)), "")</f>
        <v/>
      </c>
      <c r="AF4" s="40" t="str">
        <f t="array" ref="AF4">IFERROR(INDEX(Support3a[Column5],SMALL(IF(Support3a[Unit]=$BD$3,ROW(Support3a[])-MIN(ROW(Support3a[]))+1),AH4)), "")</f>
        <v/>
      </c>
      <c r="AG4" s="40" t="str">
        <f t="array" ref="AG4">IFERROR(INDEX(Support3a[Column6],SMALL(IF(Support3a[Unit]=$BD$3,ROW(Support3a[])-MIN(ROW(Support3a[]))+1),AH4)), "")</f>
        <v/>
      </c>
      <c r="AH4" s="41">
        <v>1</v>
      </c>
      <c r="AI4" s="42" t="str">
        <f t="array" ref="AI4">IFERROR(INDEX(Support3b[Unit],SMALL(IF(Support3b[Unit]=$BD$3,ROW(Support3b[])-MIN(ROW(Support3b[]))+1),AH4)), "")</f>
        <v/>
      </c>
      <c r="AJ4" s="42" t="str">
        <f t="array" ref="AJ4">IFERROR(INDEX(Support3b[Name],SMALL(IF(Support3b[Unit]=$BD$3,ROW(Support3b[])-MIN(ROW(Support3b[]))+1),AH4)), "")</f>
        <v/>
      </c>
      <c r="AK4" s="43" t="str">
        <f t="array" ref="AK4">IFERROR(INDEX(Support3b[Column1],SMALL(IF(Support3b[Unit]=$BD$3,ROW(Support3b[])-MIN(ROW(Support3b[]))+1),AH4)), "")</f>
        <v/>
      </c>
      <c r="AL4" s="43" t="str">
        <f t="array" ref="AL4">IFERROR(INDEX(Support3b[Column2],SMALL(IF(Support3b[Unit]=$BD$3,ROW(Support3b[])-MIN(ROW(Support3b[]))+1),AH4)), "")</f>
        <v/>
      </c>
      <c r="AM4" s="43" t="str">
        <f t="array" ref="AM4">IFERROR(INDEX(Support3b[Column3],SMALL(IF(Support3b[Unit]=$BD$3,ROW(Support3b[])-MIN(ROW(Support3b[]))+1),AH4)), "")</f>
        <v/>
      </c>
      <c r="AN4" s="43" t="str">
        <f t="array" ref="AN4">IFERROR(INDEX(Support3b[Column4],SMALL(IF(Support3b[Unit]=$BD$3,ROW(Support3b[])-MIN(ROW(Support3b[]))+1),AH4)), "")</f>
        <v/>
      </c>
      <c r="AO4" s="43" t="str">
        <f t="array" ref="AO4">IFERROR(INDEX(Support3b[Column5],SMALL(IF(Support3b[Unit]=$BD$3,ROW(Support3b[])-MIN(ROW(Support3b[]))+1),AH4)), "")</f>
        <v/>
      </c>
      <c r="AP4" s="43" t="str">
        <f t="array" ref="AP4">IFERROR(INDEX(Support3b[Column6],SMALL(IF(Support3b[Unit]=$BD$3,ROW(Support3b[])-MIN(ROW(Support3b[]))+1),AH4)), "")</f>
        <v/>
      </c>
      <c r="AS4" s="59" t="s">
        <v>17</v>
      </c>
      <c r="AT4" s="17" t="str">
        <f t="shared" ref="AT4:AY4" si="2">AK2</f>
        <v/>
      </c>
      <c r="AU4" s="17" t="str">
        <f t="shared" si="2"/>
        <v/>
      </c>
      <c r="AV4" s="17" t="str">
        <f t="shared" si="2"/>
        <v/>
      </c>
      <c r="AW4" s="17" t="str">
        <f t="shared" si="2"/>
        <v/>
      </c>
      <c r="AX4" s="17" t="str">
        <f t="shared" si="2"/>
        <v/>
      </c>
      <c r="AY4" s="17" t="str">
        <f t="shared" si="2"/>
        <v/>
      </c>
      <c r="BB4" s="161"/>
      <c r="BC4" s="164"/>
      <c r="BD4" s="163"/>
      <c r="BX4"/>
    </row>
    <row r="5" spans="1:76" ht="14.55" customHeight="1">
      <c r="B5" s="53" t="s">
        <v>78</v>
      </c>
      <c r="X5" s="21"/>
      <c r="Z5" s="38" t="str">
        <f t="array" ref="Z5">IFERROR(INDEX(Support4a[Unit],SMALL(IF(Support4a[Unit]=$BD$3,ROW(Support4a[])-MIN(ROW(Support4a[]))+1),AH5)), "")</f>
        <v/>
      </c>
      <c r="AA5" s="39" t="e">
        <f t="array" ref="AA5">INDEX(Support4a[Name],SMALL(IF(Support4a[Unit]=$BD$3,ROW(Support4a[])-MIN(ROW(Support4a[]))+1),AH5))</f>
        <v>#NUM!</v>
      </c>
      <c r="AB5" s="40" t="str">
        <f t="array" ref="AB5">IFERROR(INDEX(Support4a[Column1],SMALL(IF(Support4a[Unit]=$BD$3,ROW(Support4a[])-MIN(ROW(Support4a[]))+1),AH5)), "")</f>
        <v/>
      </c>
      <c r="AC5" s="40" t="str">
        <f t="array" ref="AC5">IFERROR(INDEX(Support4a[Column2],SMALL(IF(Support4a[Unit]=$BD$3,ROW(Support4a[])-MIN(ROW(Support4a[]))+1),AH5)), "")</f>
        <v/>
      </c>
      <c r="AD5" s="40" t="str">
        <f t="array" ref="AD5">IFERROR(INDEX(Support4a[Column3],SMALL(IF(Support4a[Unit]=$BD$3,ROW(Support4a[])-MIN(ROW(Support4a[]))+1),AH5)), "")</f>
        <v/>
      </c>
      <c r="AE5" s="40" t="str">
        <f t="array" ref="AE5">IFERROR(INDEX(Support4a[Column4],SMALL(IF(Support4a[Unit]=$BD$3,ROW(Support4a[])-MIN(ROW(Support4a[]))+1),AH5)), "")</f>
        <v/>
      </c>
      <c r="AF5" s="40" t="str">
        <f t="array" ref="AF5">IFERROR(INDEX(Support4a[Column5],SMALL(IF(Support4a[Unit]=$BD$3,ROW(Support4a[])-MIN(ROW(Support4a[]))+1),AH5)), "")</f>
        <v/>
      </c>
      <c r="AG5" s="40" t="str">
        <f t="array" ref="AG5">IFERROR(INDEX(Support4a[Column6],SMALL(IF(Support4a[Unit]=$BD$3,ROW(Support4a[])-MIN(ROW(Support4a[]))+1),AH5)), "")</f>
        <v/>
      </c>
      <c r="AH5" s="41">
        <v>1</v>
      </c>
      <c r="AI5" s="42" t="str">
        <f t="array" ref="AI5">IFERROR(INDEX(Support4b[Unit],SMALL(IF(Support4b[Unit]=$BD$3,ROW(Support4b[])-MIN(ROW(Support4b[]))+1),AH5)), "")</f>
        <v/>
      </c>
      <c r="AJ5" s="42" t="str">
        <f t="array" ref="AJ5">IFERROR(INDEX(Support4b[Name],SMALL(IF(Support4b[Unit]=$BD$3,ROW(Support4b[])-MIN(ROW(Support4b[]))+1),AH5)), "")</f>
        <v/>
      </c>
      <c r="AK5" s="43" t="str">
        <f t="array" ref="AK5">IFERROR(INDEX(Support4b[Column1],SMALL(IF(Support4b[Unit]=$BD$3,ROW(Support4b[])-MIN(ROW(Support4b[]))+1),AH5)), "")</f>
        <v/>
      </c>
      <c r="AL5" s="43" t="str">
        <f t="array" ref="AL5">IFERROR(INDEX(Support4b[Column2],SMALL(IF(Support4b[Unit]=$BD$3,ROW(Support4b[])-MIN(ROW(Support4b[]))+1),AH5)), "")</f>
        <v/>
      </c>
      <c r="AM5" s="43" t="str">
        <f t="array" ref="AM5">IFERROR(INDEX(Support4b[Column3],SMALL(IF(Support4b[Unit]=$BD$3,ROW(Support4b[])-MIN(ROW(Support4b[]))+1),AH5)), "")</f>
        <v/>
      </c>
      <c r="AN5" s="43" t="str">
        <f t="array" ref="AN5">IFERROR(INDEX(Support4b[Column4],SMALL(IF(Support4b[Unit]=$BD$3,ROW(Support4b[])-MIN(ROW(Support4b[]))+1),AH5)), "")</f>
        <v/>
      </c>
      <c r="AO5" s="43" t="str">
        <f t="array" ref="AO5">IFERROR(INDEX(Support4b[Column5],SMALL(IF(Support4b[Unit]=$BD$3,ROW(Support4b[])-MIN(ROW(Support4b[]))+1),AH5)), "")</f>
        <v/>
      </c>
      <c r="AP5" s="43" t="str">
        <f t="array" ref="AP5">IFERROR(INDEX(Support4b[Column6],SMALL(IF(Support4b[Unit]=$BD$3,ROW(Support4b[])-MIN(ROW(Support4b[]))+1),AH5)), "")</f>
        <v/>
      </c>
      <c r="AS5" s="59"/>
      <c r="AT5" s="32">
        <f>Date_Control!$C$21</f>
        <v>2021</v>
      </c>
      <c r="AU5" s="32">
        <f>Date_Control!$C$20</f>
        <v>2022</v>
      </c>
      <c r="AV5" s="32">
        <f>Date_Control!$C$19</f>
        <v>2023</v>
      </c>
      <c r="AW5" s="32">
        <f>Date_Control!$C$18</f>
        <v>2024</v>
      </c>
      <c r="AX5" s="32">
        <f>Date_Control!$C$17</f>
        <v>2025</v>
      </c>
      <c r="AY5" s="32">
        <f>Date_Control!$C$16</f>
        <v>2026</v>
      </c>
      <c r="BX5"/>
    </row>
    <row r="6" spans="1:76" ht="14.55" customHeight="1">
      <c r="B6" s="53" t="s">
        <v>79</v>
      </c>
      <c r="X6" s="21"/>
      <c r="AR6" t="s">
        <v>33</v>
      </c>
      <c r="AS6" s="59" t="s">
        <v>16</v>
      </c>
      <c r="AT6" s="17" t="str">
        <f t="shared" ref="AT6:AY6" si="3">AB3</f>
        <v/>
      </c>
      <c r="AU6" s="17" t="str">
        <f t="shared" si="3"/>
        <v/>
      </c>
      <c r="AV6" s="17" t="str">
        <f t="shared" si="3"/>
        <v/>
      </c>
      <c r="AW6" s="17" t="str">
        <f t="shared" si="3"/>
        <v/>
      </c>
      <c r="AX6" s="17" t="str">
        <f t="shared" si="3"/>
        <v/>
      </c>
      <c r="AY6" s="17" t="str">
        <f t="shared" si="3"/>
        <v/>
      </c>
      <c r="BX6"/>
    </row>
    <row r="7" spans="1:76" ht="14.55" customHeight="1">
      <c r="B7" s="53" t="s">
        <v>80</v>
      </c>
      <c r="X7" s="21"/>
      <c r="AS7" s="59" t="s">
        <v>17</v>
      </c>
      <c r="AT7" s="17" t="str">
        <f t="shared" ref="AT7:AY7" si="4">AK3</f>
        <v/>
      </c>
      <c r="AU7" s="17" t="str">
        <f t="shared" si="4"/>
        <v/>
      </c>
      <c r="AV7" s="17" t="str">
        <f t="shared" si="4"/>
        <v/>
      </c>
      <c r="AW7" s="17" t="str">
        <f t="shared" si="4"/>
        <v/>
      </c>
      <c r="AX7" s="17" t="str">
        <f t="shared" si="4"/>
        <v/>
      </c>
      <c r="AY7" s="17" t="str">
        <f t="shared" si="4"/>
        <v/>
      </c>
      <c r="BX7"/>
    </row>
    <row r="8" spans="1:76" ht="14.55" customHeight="1">
      <c r="B8" s="53"/>
      <c r="X8" s="21"/>
      <c r="AS8" s="59"/>
      <c r="AT8" s="32">
        <f>Date_Control!$C$21</f>
        <v>2021</v>
      </c>
      <c r="AU8" s="32">
        <f>Date_Control!$C$20</f>
        <v>2022</v>
      </c>
      <c r="AV8" s="32">
        <f>Date_Control!$C$19</f>
        <v>2023</v>
      </c>
      <c r="AW8" s="32">
        <f>Date_Control!$C$18</f>
        <v>2024</v>
      </c>
      <c r="AX8" s="32">
        <f>Date_Control!$C$17</f>
        <v>2025</v>
      </c>
      <c r="AY8" s="32">
        <f>Date_Control!$C$16</f>
        <v>2026</v>
      </c>
      <c r="BX8"/>
    </row>
    <row r="9" spans="1:76" ht="14.55" customHeight="1">
      <c r="B9" s="53" t="s">
        <v>19</v>
      </c>
      <c r="X9" s="21"/>
      <c r="AR9" t="s">
        <v>34</v>
      </c>
      <c r="AS9" s="59" t="s">
        <v>16</v>
      </c>
      <c r="AT9" s="17" t="str">
        <f>AB4</f>
        <v/>
      </c>
      <c r="AU9" s="17" t="str">
        <f t="shared" ref="AU9:AY9" si="5">AC4</f>
        <v/>
      </c>
      <c r="AV9" s="17" t="str">
        <f t="shared" si="5"/>
        <v/>
      </c>
      <c r="AW9" s="17" t="str">
        <f t="shared" si="5"/>
        <v/>
      </c>
      <c r="AX9" s="17" t="str">
        <f t="shared" si="5"/>
        <v/>
      </c>
      <c r="AY9" s="17" t="str">
        <f t="shared" si="5"/>
        <v/>
      </c>
      <c r="BX9"/>
    </row>
    <row r="10" spans="1:76" ht="14.55" customHeight="1">
      <c r="X10" s="21"/>
      <c r="AS10" s="59" t="s">
        <v>17</v>
      </c>
      <c r="AT10" s="17" t="str">
        <f>AK4</f>
        <v/>
      </c>
      <c r="AU10" s="17" t="str">
        <f t="shared" ref="AU10:AY10" si="6">AL4</f>
        <v/>
      </c>
      <c r="AV10" s="17" t="str">
        <f t="shared" si="6"/>
        <v/>
      </c>
      <c r="AW10" s="17" t="str">
        <f t="shared" si="6"/>
        <v/>
      </c>
      <c r="AX10" s="17" t="str">
        <f t="shared" si="6"/>
        <v/>
      </c>
      <c r="AY10" s="17" t="str">
        <f t="shared" si="6"/>
        <v/>
      </c>
      <c r="BX10"/>
    </row>
    <row r="11" spans="1:76" ht="15.45" customHeight="1">
      <c r="B11" s="53" t="s">
        <v>23</v>
      </c>
      <c r="X11" s="21"/>
      <c r="AS11" s="59"/>
      <c r="AT11" s="32">
        <f>Date_Control!$C$21</f>
        <v>2021</v>
      </c>
      <c r="AU11" s="32">
        <f>Date_Control!$C$20</f>
        <v>2022</v>
      </c>
      <c r="AV11" s="32">
        <f>Date_Control!$C$19</f>
        <v>2023</v>
      </c>
      <c r="AW11" s="32">
        <f>Date_Control!$C$18</f>
        <v>2024</v>
      </c>
      <c r="AX11" s="32">
        <f>Date_Control!$C$17</f>
        <v>2025</v>
      </c>
      <c r="AY11" s="32">
        <f>Date_Control!$C$16</f>
        <v>2026</v>
      </c>
      <c r="BX11"/>
    </row>
    <row r="12" spans="1:76" ht="14.55" customHeight="1">
      <c r="X12" s="21"/>
      <c r="AR12" t="s">
        <v>35</v>
      </c>
      <c r="AS12" s="59" t="s">
        <v>16</v>
      </c>
      <c r="AT12" s="17" t="str">
        <f>AB5</f>
        <v/>
      </c>
      <c r="AU12" s="17" t="str">
        <f t="shared" ref="AU12:AY12" si="7">AC5</f>
        <v/>
      </c>
      <c r="AV12" s="17" t="str">
        <f t="shared" si="7"/>
        <v/>
      </c>
      <c r="AW12" s="17" t="str">
        <f t="shared" si="7"/>
        <v/>
      </c>
      <c r="AX12" s="17" t="str">
        <f t="shared" si="7"/>
        <v/>
      </c>
      <c r="AY12" s="17" t="str">
        <f t="shared" si="7"/>
        <v/>
      </c>
      <c r="BX12"/>
    </row>
    <row r="13" spans="1:76" ht="14.55" customHeight="1">
      <c r="X13" s="21"/>
      <c r="AS13" s="59" t="s">
        <v>17</v>
      </c>
      <c r="AT13" s="17" t="str">
        <f>AK5</f>
        <v/>
      </c>
      <c r="AU13" s="17" t="str">
        <f t="shared" ref="AU13:AY13" si="8">AL5</f>
        <v/>
      </c>
      <c r="AV13" s="17" t="str">
        <f t="shared" si="8"/>
        <v/>
      </c>
      <c r="AW13" s="17" t="str">
        <f t="shared" si="8"/>
        <v/>
      </c>
      <c r="AX13" s="17" t="str">
        <f t="shared" si="8"/>
        <v/>
      </c>
      <c r="AY13" s="17" t="str">
        <f t="shared" si="8"/>
        <v/>
      </c>
      <c r="BX13"/>
    </row>
    <row r="14" spans="1:76" ht="14.55" customHeight="1">
      <c r="B14" s="165" t="str">
        <f>IF(Main_Page!C10="Click here to select district", "SELECT DISTRICT ON MAIN PAGE", "")</f>
        <v>SELECT DISTRICT ON MAIN PAGE</v>
      </c>
      <c r="C14" s="166"/>
      <c r="X14" s="21"/>
      <c r="AR14"/>
      <c r="AS14" s="59"/>
      <c r="BX14"/>
    </row>
    <row r="15" spans="1:76" ht="14.55" customHeight="1">
      <c r="B15" s="167"/>
      <c r="C15" s="168"/>
      <c r="X15" s="21"/>
      <c r="Z15" s="161" t="s">
        <v>36</v>
      </c>
      <c r="AA15" s="159" t="s">
        <v>62</v>
      </c>
      <c r="AR15"/>
      <c r="BX15"/>
    </row>
    <row r="16" spans="1:76" ht="14.55" customHeight="1">
      <c r="X16" s="21"/>
      <c r="Z16" s="161"/>
      <c r="AA16" s="160"/>
      <c r="AR16"/>
      <c r="BX16"/>
    </row>
    <row r="17" spans="1:76" ht="14.55" customHeight="1">
      <c r="X17" s="21"/>
      <c r="Z17" s="58"/>
      <c r="AR17"/>
      <c r="BX17"/>
    </row>
    <row r="18" spans="1:76" ht="14.55" customHeight="1">
      <c r="X18" s="21"/>
      <c r="Z18" s="161" t="s">
        <v>38</v>
      </c>
      <c r="AA18" s="159" t="s">
        <v>63</v>
      </c>
      <c r="AD18" t="s">
        <v>31</v>
      </c>
      <c r="AR18"/>
      <c r="BX18"/>
    </row>
    <row r="19" spans="1:76" ht="14.55" customHeight="1">
      <c r="X19" s="21"/>
      <c r="Z19" s="161"/>
      <c r="AA19" s="160"/>
      <c r="AR19"/>
      <c r="BX19"/>
    </row>
    <row r="20" spans="1:76" ht="14.55" customHeight="1">
      <c r="X20" s="37"/>
      <c r="Z20" s="58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R20"/>
      <c r="AZ20" s="10"/>
      <c r="BA20" s="10"/>
      <c r="BV20" s="10"/>
      <c r="BX20"/>
    </row>
    <row r="21" spans="1:76" ht="14.55" customHeight="1">
      <c r="X21" s="21"/>
      <c r="Z21" s="161" t="s">
        <v>43</v>
      </c>
      <c r="AA21" s="159" t="s">
        <v>64</v>
      </c>
      <c r="AR21" s="30" t="s">
        <v>21</v>
      </c>
      <c r="AS21" s="30" t="s">
        <v>20</v>
      </c>
      <c r="AT21" s="30" t="s">
        <v>30</v>
      </c>
      <c r="AU21" s="30" t="s">
        <v>22</v>
      </c>
      <c r="AV21" s="30" t="s">
        <v>39</v>
      </c>
      <c r="AW21" s="30" t="s">
        <v>40</v>
      </c>
      <c r="AX21" s="30" t="s">
        <v>41</v>
      </c>
      <c r="AY21" s="30" t="s">
        <v>42</v>
      </c>
      <c r="BA21" s="12" t="s">
        <v>21</v>
      </c>
      <c r="BB21" s="12" t="s">
        <v>20</v>
      </c>
      <c r="BC21" s="12" t="s">
        <v>30</v>
      </c>
      <c r="BD21" s="12" t="s">
        <v>22</v>
      </c>
      <c r="BE21" s="12" t="s">
        <v>39</v>
      </c>
      <c r="BF21" s="12" t="s">
        <v>40</v>
      </c>
      <c r="BG21" s="12" t="s">
        <v>41</v>
      </c>
      <c r="BH21" s="12" t="s">
        <v>42</v>
      </c>
      <c r="BX21"/>
    </row>
    <row r="22" spans="1:76" ht="14.55" customHeight="1">
      <c r="B22" s="53"/>
      <c r="X22" s="21"/>
      <c r="Z22" s="161"/>
      <c r="AA22" s="160"/>
      <c r="AR22" s="30" t="s">
        <v>0</v>
      </c>
      <c r="AS22" s="30" t="s">
        <v>131</v>
      </c>
      <c r="AT22" s="57">
        <f>Support_Data!D2</f>
        <v>962.56000000000006</v>
      </c>
      <c r="AU22" s="57">
        <f>Support_Data!E2</f>
        <v>1094.57</v>
      </c>
      <c r="AV22" s="57">
        <f>Support_Data!F2</f>
        <v>1129.8600000000001</v>
      </c>
      <c r="AW22" s="57">
        <f>Support_Data!G2</f>
        <v>1046.9699999999998</v>
      </c>
      <c r="AX22" s="57">
        <f>Support_Data!H2</f>
        <v>1301.6600000000001</v>
      </c>
      <c r="AY22" s="57">
        <f>Support_Data!I2</f>
        <v>661.64</v>
      </c>
      <c r="BA22" s="15" t="s">
        <v>0</v>
      </c>
      <c r="BB22" s="15" t="s">
        <v>131</v>
      </c>
      <c r="BC22" s="36">
        <f>Support_Data!M2</f>
        <v>661.72</v>
      </c>
      <c r="BD22" s="36">
        <f>Support_Data!N2</f>
        <v>728.37</v>
      </c>
      <c r="BE22" s="36">
        <f>Support_Data!O2</f>
        <v>807.8599999999999</v>
      </c>
      <c r="BF22" s="36">
        <f>Support_Data!P2</f>
        <v>722.18</v>
      </c>
      <c r="BG22" s="36">
        <f>Support_Data!Q2</f>
        <v>880.08000000000015</v>
      </c>
      <c r="BH22" s="36">
        <f>Support_Data!R2</f>
        <v>661.64</v>
      </c>
      <c r="BX22"/>
    </row>
    <row r="23" spans="1:76" ht="14.55" customHeight="1">
      <c r="B23" s="53"/>
      <c r="X23" s="21"/>
      <c r="Z23" s="58"/>
      <c r="AR23" s="30" t="s">
        <v>1</v>
      </c>
      <c r="AS23" s="30" t="s">
        <v>130</v>
      </c>
      <c r="AT23" s="57">
        <f>Support_Data!D3</f>
        <v>2512.6799999999998</v>
      </c>
      <c r="AU23" s="57">
        <f>Support_Data!E3</f>
        <v>2536.1799999999998</v>
      </c>
      <c r="AV23" s="57">
        <f>Support_Data!F3</f>
        <v>2686.2500000000005</v>
      </c>
      <c r="AW23" s="57">
        <f>Support_Data!G3</f>
        <v>2501.5000000000005</v>
      </c>
      <c r="AX23" s="57">
        <f>Support_Data!H3</f>
        <v>2413.3699999999994</v>
      </c>
      <c r="AY23" s="57">
        <f>Support_Data!I3</f>
        <v>1259.03</v>
      </c>
      <c r="BA23" s="15" t="s">
        <v>1</v>
      </c>
      <c r="BB23" s="15" t="s">
        <v>130</v>
      </c>
      <c r="BC23" s="36">
        <f>Support_Data!M3</f>
        <v>1358.4399999999996</v>
      </c>
      <c r="BD23" s="36">
        <f>Support_Data!N3</f>
        <v>1552.2399999999998</v>
      </c>
      <c r="BE23" s="36">
        <f>Support_Data!O3</f>
        <v>1724.3700000000001</v>
      </c>
      <c r="BF23" s="36">
        <f>Support_Data!P3</f>
        <v>1597.9199999999998</v>
      </c>
      <c r="BG23" s="36">
        <f>Support_Data!Q3</f>
        <v>1513.37</v>
      </c>
      <c r="BH23" s="36">
        <f>Support_Data!R3</f>
        <v>1259.03</v>
      </c>
      <c r="BX23"/>
    </row>
    <row r="24" spans="1:76" ht="14.55" customHeight="1">
      <c r="B24" s="53"/>
      <c r="X24" s="21"/>
      <c r="Z24" s="161" t="s">
        <v>44</v>
      </c>
      <c r="AA24" s="159" t="s">
        <v>65</v>
      </c>
      <c r="AR24" s="30" t="s">
        <v>2</v>
      </c>
      <c r="AS24" s="30" t="s">
        <v>132</v>
      </c>
      <c r="AT24" s="57">
        <f>Support_Data!D4</f>
        <v>1310.18</v>
      </c>
      <c r="AU24" s="57">
        <f>Support_Data!E4</f>
        <v>1226.52</v>
      </c>
      <c r="AV24" s="57">
        <f>Support_Data!F4</f>
        <v>1365.48</v>
      </c>
      <c r="AW24" s="57">
        <f>Support_Data!G4</f>
        <v>1524.4099999999999</v>
      </c>
      <c r="AX24" s="57">
        <f>Support_Data!H4</f>
        <v>2001.1400000000003</v>
      </c>
      <c r="AY24" s="57">
        <f>Support_Data!I4</f>
        <v>884.88</v>
      </c>
      <c r="BA24" s="15" t="s">
        <v>2</v>
      </c>
      <c r="BB24" s="15" t="s">
        <v>132</v>
      </c>
      <c r="BC24" s="36">
        <f>Support_Data!M4</f>
        <v>966.42000000000007</v>
      </c>
      <c r="BD24" s="36">
        <f>Support_Data!N4</f>
        <v>827.7600000000001</v>
      </c>
      <c r="BE24" s="36">
        <f>Support_Data!O4</f>
        <v>961.58</v>
      </c>
      <c r="BF24" s="36">
        <f>Support_Data!P4</f>
        <v>917.64</v>
      </c>
      <c r="BG24" s="36">
        <f>Support_Data!Q4</f>
        <v>1362.31</v>
      </c>
      <c r="BH24" s="36">
        <f>Support_Data!R4</f>
        <v>884.88</v>
      </c>
      <c r="BX24"/>
    </row>
    <row r="25" spans="1:76" ht="14.55" customHeight="1">
      <c r="B25" s="53"/>
      <c r="X25" s="21"/>
      <c r="Z25" s="161"/>
      <c r="AA25" s="160"/>
      <c r="AR25" s="30" t="s">
        <v>3</v>
      </c>
      <c r="AS25" s="30" t="s">
        <v>133</v>
      </c>
      <c r="AT25" s="57">
        <f>Support_Data!D5</f>
        <v>1914.11</v>
      </c>
      <c r="AU25" s="57">
        <f>Support_Data!E5</f>
        <v>1920.31</v>
      </c>
      <c r="AV25" s="57">
        <f>Support_Data!F5</f>
        <v>2099.6899999999996</v>
      </c>
      <c r="AW25" s="57">
        <f>Support_Data!G5</f>
        <v>1857.56</v>
      </c>
      <c r="AX25" s="57">
        <f>Support_Data!H5</f>
        <v>2262.37</v>
      </c>
      <c r="AY25" s="57">
        <f>Support_Data!I5</f>
        <v>718.76</v>
      </c>
      <c r="BA25" s="15" t="s">
        <v>3</v>
      </c>
      <c r="BB25" s="15" t="s">
        <v>133</v>
      </c>
      <c r="BC25" s="36">
        <f>Support_Data!M5</f>
        <v>1131.8800000000001</v>
      </c>
      <c r="BD25" s="36">
        <f>Support_Data!N5</f>
        <v>1269.9600000000003</v>
      </c>
      <c r="BE25" s="36">
        <f>Support_Data!O5</f>
        <v>1455.6100000000001</v>
      </c>
      <c r="BF25" s="36">
        <f>Support_Data!P5</f>
        <v>1308.83</v>
      </c>
      <c r="BG25" s="36">
        <f>Support_Data!Q5</f>
        <v>1463.79</v>
      </c>
      <c r="BH25" s="36">
        <f>Support_Data!R5</f>
        <v>718.76</v>
      </c>
      <c r="BX25"/>
    </row>
    <row r="26" spans="1:76" ht="14.55" customHeight="1">
      <c r="X26" s="21"/>
      <c r="AR26" s="30" t="s">
        <v>4</v>
      </c>
      <c r="AS26" s="30" t="s">
        <v>134</v>
      </c>
      <c r="AT26" s="57">
        <f>Support_Data!D6</f>
        <v>3859.3399999999997</v>
      </c>
      <c r="AU26" s="57">
        <f>Support_Data!E6</f>
        <v>3469.4400000000005</v>
      </c>
      <c r="AV26" s="57">
        <f>Support_Data!F6</f>
        <v>3906.7800000000007</v>
      </c>
      <c r="AW26" s="57">
        <f>Support_Data!G6</f>
        <v>3915.34</v>
      </c>
      <c r="AX26" s="57">
        <f>Support_Data!H6</f>
        <v>3721.08</v>
      </c>
      <c r="AY26" s="57">
        <f>Support_Data!I6</f>
        <v>1893.11</v>
      </c>
      <c r="BA26" s="15" t="s">
        <v>4</v>
      </c>
      <c r="BB26" s="15" t="s">
        <v>134</v>
      </c>
      <c r="BC26" s="36">
        <f>Support_Data!M6</f>
        <v>2321.7400000000002</v>
      </c>
      <c r="BD26" s="36">
        <f>Support_Data!N6</f>
        <v>2183.7999999999997</v>
      </c>
      <c r="BE26" s="36">
        <f>Support_Data!O6</f>
        <v>2291.2600000000002</v>
      </c>
      <c r="BF26" s="36">
        <f>Support_Data!P6</f>
        <v>2466.86</v>
      </c>
      <c r="BG26" s="36">
        <f>Support_Data!Q6</f>
        <v>2131.4</v>
      </c>
      <c r="BH26" s="36">
        <f>Support_Data!R6</f>
        <v>1893.11</v>
      </c>
      <c r="BX26"/>
    </row>
    <row r="27" spans="1:76" s="10" customFormat="1" ht="19.2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21"/>
      <c r="Y27" s="4"/>
      <c r="Z27"/>
      <c r="AA27"/>
      <c r="AK27"/>
      <c r="AL27"/>
      <c r="AM27"/>
      <c r="AN27"/>
      <c r="AO27"/>
      <c r="AP27"/>
      <c r="AQ27" s="4"/>
      <c r="AR27" s="30" t="s">
        <v>5</v>
      </c>
      <c r="AS27" s="30" t="s">
        <v>135</v>
      </c>
      <c r="AT27" s="57">
        <f>Support_Data!D7</f>
        <v>1104.1600000000001</v>
      </c>
      <c r="AU27" s="57">
        <f>Support_Data!E7</f>
        <v>1121.97</v>
      </c>
      <c r="AV27" s="57">
        <f>Support_Data!F7</f>
        <v>1311.3200000000008</v>
      </c>
      <c r="AW27" s="57">
        <f>Support_Data!G7</f>
        <v>1000.09</v>
      </c>
      <c r="AX27" s="57">
        <f>Support_Data!H7</f>
        <v>945.45999999999992</v>
      </c>
      <c r="AY27" s="57">
        <f>Support_Data!I7</f>
        <v>343.69000000000005</v>
      </c>
      <c r="AZ27"/>
      <c r="BA27" s="15" t="s">
        <v>5</v>
      </c>
      <c r="BB27" s="15" t="s">
        <v>135</v>
      </c>
      <c r="BC27" s="36">
        <f>Support_Data!M7</f>
        <v>800.8</v>
      </c>
      <c r="BD27" s="36">
        <f>Support_Data!N7</f>
        <v>687.46</v>
      </c>
      <c r="BE27" s="36">
        <f>Support_Data!O7</f>
        <v>616.78</v>
      </c>
      <c r="BF27" s="36">
        <f>Support_Data!P7</f>
        <v>668.09</v>
      </c>
      <c r="BG27" s="36">
        <f>Support_Data!Q7</f>
        <v>544.84</v>
      </c>
      <c r="BH27" s="36">
        <f>Support_Data!R7</f>
        <v>343.69000000000005</v>
      </c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X27"/>
    </row>
    <row r="28" spans="1:76" ht="14.55" customHeight="1">
      <c r="X28" s="21"/>
      <c r="AR28" s="30" t="s">
        <v>6</v>
      </c>
      <c r="AS28" s="30" t="s">
        <v>136</v>
      </c>
      <c r="AT28" s="57">
        <f>Support_Data!D8</f>
        <v>806.65000000000009</v>
      </c>
      <c r="AU28" s="57">
        <f>Support_Data!E8</f>
        <v>1050.02</v>
      </c>
      <c r="AV28" s="57">
        <f>Support_Data!F8</f>
        <v>929.9</v>
      </c>
      <c r="AW28" s="57">
        <f>Support_Data!G8</f>
        <v>1028.6399999999999</v>
      </c>
      <c r="AX28" s="57">
        <f>Support_Data!H8</f>
        <v>1103.74</v>
      </c>
      <c r="AY28" s="57">
        <f>Support_Data!I8</f>
        <v>437.97999999999996</v>
      </c>
      <c r="BA28" s="15" t="s">
        <v>6</v>
      </c>
      <c r="BB28" s="15" t="s">
        <v>136</v>
      </c>
      <c r="BC28" s="36">
        <f>Support_Data!M8</f>
        <v>477.68</v>
      </c>
      <c r="BD28" s="36">
        <f>Support_Data!N8</f>
        <v>500.1</v>
      </c>
      <c r="BE28" s="36">
        <f>Support_Data!O8</f>
        <v>569.63</v>
      </c>
      <c r="BF28" s="36">
        <f>Support_Data!P8</f>
        <v>677.90999999999985</v>
      </c>
      <c r="BG28" s="36">
        <f>Support_Data!Q8</f>
        <v>545.89</v>
      </c>
      <c r="BH28" s="36">
        <f>Support_Data!R8</f>
        <v>437.97999999999996</v>
      </c>
      <c r="BX28"/>
    </row>
    <row r="29" spans="1:76" ht="14.55" customHeight="1">
      <c r="X29" s="21"/>
      <c r="AR29" s="30" t="s">
        <v>7</v>
      </c>
      <c r="AS29" s="30" t="s">
        <v>137</v>
      </c>
      <c r="AT29" s="57">
        <f>Support_Data!D9</f>
        <v>1108.1800000000003</v>
      </c>
      <c r="AU29" s="57">
        <f>Support_Data!E9</f>
        <v>1071.97</v>
      </c>
      <c r="AV29" s="57">
        <f>Support_Data!F9</f>
        <v>1139.69</v>
      </c>
      <c r="AW29" s="57">
        <f>Support_Data!G9</f>
        <v>1147.69</v>
      </c>
      <c r="AX29" s="57">
        <f>Support_Data!H9</f>
        <v>1144.7499999999998</v>
      </c>
      <c r="AY29" s="57">
        <f>Support_Data!I9</f>
        <v>529.95999999999992</v>
      </c>
      <c r="BA29" s="15" t="s">
        <v>7</v>
      </c>
      <c r="BB29" s="15" t="s">
        <v>137</v>
      </c>
      <c r="BC29" s="36">
        <f>Support_Data!M9</f>
        <v>574.57999999999993</v>
      </c>
      <c r="BD29" s="36">
        <f>Support_Data!N9</f>
        <v>649.94999999999993</v>
      </c>
      <c r="BE29" s="36">
        <f>Support_Data!O9</f>
        <v>688.44</v>
      </c>
      <c r="BF29" s="36">
        <f>Support_Data!P9</f>
        <v>656.46999999999991</v>
      </c>
      <c r="BG29" s="36">
        <f>Support_Data!Q9</f>
        <v>732.45</v>
      </c>
      <c r="BH29" s="36">
        <f>Support_Data!R9</f>
        <v>529.95999999999992</v>
      </c>
      <c r="BX29"/>
    </row>
    <row r="30" spans="1:76" ht="14.55" customHeight="1">
      <c r="X30" s="21"/>
      <c r="Y30" s="6"/>
      <c r="AQ30" s="6"/>
      <c r="AR30" s="30" t="s">
        <v>8</v>
      </c>
      <c r="AS30" s="30" t="s">
        <v>138</v>
      </c>
      <c r="AT30" s="57">
        <f>Support_Data!D10</f>
        <v>949.2299999999999</v>
      </c>
      <c r="AU30" s="57">
        <f>Support_Data!E10</f>
        <v>763.29000000000008</v>
      </c>
      <c r="AV30" s="57">
        <f>Support_Data!F10</f>
        <v>707.42000000000007</v>
      </c>
      <c r="AW30" s="57">
        <f>Support_Data!G10</f>
        <v>1186.0900000000001</v>
      </c>
      <c r="AX30" s="57">
        <f>Support_Data!H10</f>
        <v>990.21</v>
      </c>
      <c r="AY30" s="57">
        <f>Support_Data!I10</f>
        <v>472.35</v>
      </c>
      <c r="BA30" s="15" t="s">
        <v>8</v>
      </c>
      <c r="BB30" s="15" t="s">
        <v>138</v>
      </c>
      <c r="BC30" s="36">
        <f>Support_Data!M10</f>
        <v>665.28</v>
      </c>
      <c r="BD30" s="36">
        <f>Support_Data!N10</f>
        <v>554.09</v>
      </c>
      <c r="BE30" s="36">
        <f>Support_Data!O10</f>
        <v>555.02</v>
      </c>
      <c r="BF30" s="36">
        <f>Support_Data!P10</f>
        <v>616.34000000000015</v>
      </c>
      <c r="BG30" s="36">
        <f>Support_Data!Q10</f>
        <v>627.52</v>
      </c>
      <c r="BH30" s="36">
        <f>Support_Data!R10</f>
        <v>472.35</v>
      </c>
      <c r="BX30"/>
    </row>
    <row r="31" spans="1:76" ht="14.55" customHeight="1">
      <c r="X31" s="21"/>
      <c r="AR31" s="30" t="s">
        <v>9</v>
      </c>
      <c r="AS31" s="30" t="s">
        <v>139</v>
      </c>
      <c r="AT31" s="57">
        <f>Support_Data!D11</f>
        <v>598.79</v>
      </c>
      <c r="AU31" s="57">
        <f>Support_Data!E11</f>
        <v>401.26</v>
      </c>
      <c r="AV31" s="57">
        <f>Support_Data!F11</f>
        <v>352.99</v>
      </c>
      <c r="AW31" s="57">
        <f>Support_Data!G11</f>
        <v>297.95000000000005</v>
      </c>
      <c r="AX31" s="57">
        <f>Support_Data!H11</f>
        <v>382.82000000000005</v>
      </c>
      <c r="AY31" s="57">
        <f>Support_Data!I11</f>
        <v>216.28</v>
      </c>
      <c r="BA31" s="15" t="s">
        <v>9</v>
      </c>
      <c r="BB31" s="15" t="s">
        <v>139</v>
      </c>
      <c r="BC31" s="36">
        <f>Support_Data!M11</f>
        <v>428.79</v>
      </c>
      <c r="BD31" s="36">
        <f>Support_Data!N11</f>
        <v>300.01</v>
      </c>
      <c r="BE31" s="36">
        <f>Support_Data!O11</f>
        <v>287.49</v>
      </c>
      <c r="BF31" s="36">
        <f>Support_Data!P11</f>
        <v>210.48000000000002</v>
      </c>
      <c r="BG31" s="36">
        <f>Support_Data!Q11</f>
        <v>232.92000000000002</v>
      </c>
      <c r="BH31" s="36">
        <f>Support_Data!R11</f>
        <v>216.28</v>
      </c>
      <c r="BX31"/>
    </row>
    <row r="32" spans="1:76" ht="14.55" customHeight="1">
      <c r="X32" s="21"/>
      <c r="Y32" s="7"/>
      <c r="AQ32" s="7"/>
      <c r="AR32" s="30" t="s">
        <v>10</v>
      </c>
      <c r="AS32" s="30" t="s">
        <v>140</v>
      </c>
      <c r="AT32" s="57">
        <f>Support_Data!D12</f>
        <v>1701.55</v>
      </c>
      <c r="AU32" s="57">
        <f>Support_Data!E12</f>
        <v>1008.9199999999998</v>
      </c>
      <c r="AV32" s="57">
        <f>Support_Data!F12</f>
        <v>1354.1899999999998</v>
      </c>
      <c r="AW32" s="57">
        <f>Support_Data!G12</f>
        <v>880.68000000000006</v>
      </c>
      <c r="AX32" s="57">
        <f>Support_Data!H12</f>
        <v>1335.75</v>
      </c>
      <c r="AY32" s="57">
        <f>Support_Data!I12</f>
        <v>661.06</v>
      </c>
      <c r="BA32" s="15" t="s">
        <v>10</v>
      </c>
      <c r="BB32" s="15" t="s">
        <v>140</v>
      </c>
      <c r="BC32" s="36">
        <f>Support_Data!M12</f>
        <v>1220.3499999999999</v>
      </c>
      <c r="BD32" s="36">
        <f>Support_Data!N12</f>
        <v>651.72</v>
      </c>
      <c r="BE32" s="36">
        <f>Support_Data!O12</f>
        <v>821.24000000000012</v>
      </c>
      <c r="BF32" s="36">
        <f>Support_Data!P12</f>
        <v>657.53</v>
      </c>
      <c r="BG32" s="36">
        <f>Support_Data!Q12</f>
        <v>813.73</v>
      </c>
      <c r="BH32" s="36">
        <f>Support_Data!R12</f>
        <v>661.06</v>
      </c>
      <c r="BX32"/>
    </row>
    <row r="33" spans="24:76" ht="14.55" customHeight="1">
      <c r="X33" s="21"/>
      <c r="AR33" s="30" t="s">
        <v>11</v>
      </c>
      <c r="AS33" s="30" t="s">
        <v>141</v>
      </c>
      <c r="AT33" s="57">
        <f>Support_Data!D13</f>
        <v>1047.56</v>
      </c>
      <c r="AU33" s="57">
        <f>Support_Data!E13</f>
        <v>1172.1599999999999</v>
      </c>
      <c r="AV33" s="57">
        <f>Support_Data!F13</f>
        <v>1318.3400000000001</v>
      </c>
      <c r="AW33" s="57">
        <f>Support_Data!G13</f>
        <v>1338.6499999999999</v>
      </c>
      <c r="AX33" s="57">
        <f>Support_Data!H13</f>
        <v>1253.5500000000002</v>
      </c>
      <c r="AY33" s="57">
        <f>Support_Data!I13</f>
        <v>621.44000000000005</v>
      </c>
      <c r="BA33" s="15" t="s">
        <v>11</v>
      </c>
      <c r="BB33" s="15" t="s">
        <v>141</v>
      </c>
      <c r="BC33" s="36">
        <f>Support_Data!M13</f>
        <v>631.88</v>
      </c>
      <c r="BD33" s="36">
        <f>Support_Data!N13</f>
        <v>606.31000000000006</v>
      </c>
      <c r="BE33" s="36">
        <f>Support_Data!O13</f>
        <v>735.45999999999992</v>
      </c>
      <c r="BF33" s="36">
        <f>Support_Data!P13</f>
        <v>895</v>
      </c>
      <c r="BG33" s="36">
        <f>Support_Data!Q13</f>
        <v>721.8</v>
      </c>
      <c r="BH33" s="36">
        <f>Support_Data!R13</f>
        <v>621.44000000000005</v>
      </c>
      <c r="BX33"/>
    </row>
    <row r="34" spans="24:76" ht="14.55" customHeight="1">
      <c r="X34" s="21"/>
      <c r="AR34" s="30" t="s">
        <v>12</v>
      </c>
      <c r="AS34" s="30" t="s">
        <v>142</v>
      </c>
      <c r="AT34" s="57">
        <f>Support_Data!D14</f>
        <v>1104.29</v>
      </c>
      <c r="AU34" s="57">
        <f>Support_Data!E14</f>
        <v>1091.92</v>
      </c>
      <c r="AV34" s="57">
        <f>Support_Data!F14</f>
        <v>1460.4500000000003</v>
      </c>
      <c r="AW34" s="57">
        <f>Support_Data!G14</f>
        <v>1598.5399999999997</v>
      </c>
      <c r="AX34" s="57">
        <f>Support_Data!H14</f>
        <v>1551.9699999999998</v>
      </c>
      <c r="AY34" s="57">
        <f>Support_Data!I14</f>
        <v>387.57</v>
      </c>
      <c r="BA34" s="15" t="s">
        <v>12</v>
      </c>
      <c r="BB34" s="15" t="s">
        <v>142</v>
      </c>
      <c r="BC34" s="36">
        <f>Support_Data!M14</f>
        <v>657.05</v>
      </c>
      <c r="BD34" s="36">
        <f>Support_Data!N14</f>
        <v>723.59</v>
      </c>
      <c r="BE34" s="36">
        <f>Support_Data!O14</f>
        <v>752.65</v>
      </c>
      <c r="BF34" s="36">
        <f>Support_Data!P14</f>
        <v>905.52</v>
      </c>
      <c r="BG34" s="36">
        <f>Support_Data!Q14</f>
        <v>888.19999999999993</v>
      </c>
      <c r="BH34" s="36">
        <f>Support_Data!R14</f>
        <v>387.57</v>
      </c>
      <c r="BX34"/>
    </row>
    <row r="35" spans="24:76" ht="14.55" customHeight="1">
      <c r="X35" s="21"/>
      <c r="AR35" s="30" t="s">
        <v>13</v>
      </c>
      <c r="AS35" s="30" t="s">
        <v>143</v>
      </c>
      <c r="AT35" s="57">
        <f>Support_Data!D15</f>
        <v>1027.57</v>
      </c>
      <c r="AU35" s="57">
        <f>Support_Data!E15</f>
        <v>1006.72</v>
      </c>
      <c r="AV35" s="57">
        <f>Support_Data!F15</f>
        <v>973.20999999999992</v>
      </c>
      <c r="AW35" s="57">
        <f>Support_Data!G15</f>
        <v>963.62</v>
      </c>
      <c r="AX35" s="57">
        <f>Support_Data!H15</f>
        <v>948.19999999999993</v>
      </c>
      <c r="AY35" s="57">
        <f>Support_Data!I15</f>
        <v>503.71</v>
      </c>
      <c r="BA35" s="15" t="s">
        <v>13</v>
      </c>
      <c r="BB35" s="15" t="s">
        <v>143</v>
      </c>
      <c r="BC35" s="36">
        <f>Support_Data!M15</f>
        <v>551.31999999999994</v>
      </c>
      <c r="BD35" s="36">
        <f>Support_Data!N15</f>
        <v>598.27</v>
      </c>
      <c r="BE35" s="36">
        <f>Support_Data!O15</f>
        <v>688.45999999999992</v>
      </c>
      <c r="BF35" s="36">
        <f>Support_Data!P15</f>
        <v>631.91999999999996</v>
      </c>
      <c r="BG35" s="36">
        <f>Support_Data!Q15</f>
        <v>618.98</v>
      </c>
      <c r="BH35" s="36">
        <f>Support_Data!R15</f>
        <v>503.71</v>
      </c>
      <c r="BX35"/>
    </row>
    <row r="36" spans="24:76" ht="14.55" customHeight="1">
      <c r="X36" s="21"/>
      <c r="AR36" s="30" t="s">
        <v>14</v>
      </c>
      <c r="AS36" s="30" t="s">
        <v>144</v>
      </c>
      <c r="AT36" s="57">
        <f>Support_Data!D16</f>
        <v>278.63</v>
      </c>
      <c r="AU36" s="57">
        <f>Support_Data!E16</f>
        <v>245.75</v>
      </c>
      <c r="AV36" s="57">
        <f>Support_Data!F16</f>
        <v>191.6</v>
      </c>
      <c r="AW36" s="57">
        <f>Support_Data!G16</f>
        <v>186.1</v>
      </c>
      <c r="AX36" s="57">
        <f>Support_Data!H16</f>
        <v>145.91999999999999</v>
      </c>
      <c r="AY36" s="57">
        <f>Support_Data!I16</f>
        <v>92.75</v>
      </c>
      <c r="BA36" s="15" t="s">
        <v>14</v>
      </c>
      <c r="BB36" s="15" t="s">
        <v>144</v>
      </c>
      <c r="BC36" s="36">
        <f>Support_Data!M16</f>
        <v>151.38</v>
      </c>
      <c r="BD36" s="36">
        <f>Support_Data!N16</f>
        <v>122</v>
      </c>
      <c r="BE36" s="36">
        <f>Support_Data!O16</f>
        <v>104.1</v>
      </c>
      <c r="BF36" s="36">
        <f>Support_Data!P16</f>
        <v>91.25</v>
      </c>
      <c r="BG36" s="36">
        <f>Support_Data!Q16</f>
        <v>74.17</v>
      </c>
      <c r="BH36" s="36">
        <f>Support_Data!R16</f>
        <v>92.75</v>
      </c>
      <c r="BX36"/>
    </row>
    <row r="37" spans="24:76" ht="14.55" customHeight="1">
      <c r="X37" s="21"/>
      <c r="AR37" s="30" t="s">
        <v>15</v>
      </c>
      <c r="AS37" s="30" t="s">
        <v>145</v>
      </c>
      <c r="AT37" s="57">
        <f>Support_Data!D17</f>
        <v>244.44</v>
      </c>
      <c r="AU37" s="57">
        <f>Support_Data!E17</f>
        <v>264.55</v>
      </c>
      <c r="AV37" s="57">
        <f>Support_Data!F17</f>
        <v>252.76999999999998</v>
      </c>
      <c r="AW37" s="57">
        <f>Support_Data!G17</f>
        <v>309.41999999999996</v>
      </c>
      <c r="AX37" s="57">
        <f>Support_Data!H17</f>
        <v>347.5</v>
      </c>
      <c r="AY37" s="57">
        <f>Support_Data!I17</f>
        <v>97.05</v>
      </c>
      <c r="BA37" s="15" t="s">
        <v>15</v>
      </c>
      <c r="BB37" s="15" t="s">
        <v>145</v>
      </c>
      <c r="BC37" s="36">
        <f>Support_Data!M17</f>
        <v>103.07</v>
      </c>
      <c r="BD37" s="36">
        <f>Support_Data!N17</f>
        <v>161.05000000000001</v>
      </c>
      <c r="BE37" s="36">
        <f>Support_Data!O17</f>
        <v>97.3</v>
      </c>
      <c r="BF37" s="36">
        <f>Support_Data!P17</f>
        <v>196.22</v>
      </c>
      <c r="BG37" s="36">
        <f>Support_Data!Q17</f>
        <v>185.5</v>
      </c>
      <c r="BH37" s="36">
        <f>Support_Data!R17</f>
        <v>97.05</v>
      </c>
      <c r="BX37"/>
    </row>
    <row r="38" spans="24:76" ht="14.55" customHeight="1">
      <c r="X38" s="21"/>
      <c r="AR38" s="30" t="s">
        <v>27</v>
      </c>
      <c r="AS38" s="30" t="s">
        <v>29</v>
      </c>
      <c r="AT38" s="57">
        <f>Support_Data!D18</f>
        <v>20529.919999999998</v>
      </c>
      <c r="AU38" s="57">
        <f>Support_Data!E18</f>
        <v>19445.55</v>
      </c>
      <c r="AV38" s="57">
        <f>Support_Data!F18</f>
        <v>21179.940000000002</v>
      </c>
      <c r="AW38" s="57">
        <f>Support_Data!G18</f>
        <v>20783.25</v>
      </c>
      <c r="AX38" s="57">
        <f>Support_Data!H18</f>
        <v>21849.489999999998</v>
      </c>
      <c r="AY38" s="57">
        <f>Support_Data!I18</f>
        <v>9781.2599999999984</v>
      </c>
      <c r="BA38" s="15" t="s">
        <v>27</v>
      </c>
      <c r="BB38" s="14" t="s">
        <v>29</v>
      </c>
      <c r="BC38" s="36">
        <f>Support_Data!M18</f>
        <v>12702.380000000001</v>
      </c>
      <c r="BD38" s="36">
        <f>Support_Data!N18</f>
        <v>12116.679999999998</v>
      </c>
      <c r="BE38" s="36">
        <f>Support_Data!O18</f>
        <v>13157.249999999998</v>
      </c>
      <c r="BF38" s="36">
        <f>Support_Data!P18</f>
        <v>13220.16</v>
      </c>
      <c r="BG38" s="36">
        <f>Support_Data!Q18</f>
        <v>13336.949999999999</v>
      </c>
      <c r="BH38" s="36">
        <f>Support_Data!R18</f>
        <v>9781.2599999999984</v>
      </c>
      <c r="BX38"/>
    </row>
    <row r="39" spans="24:76" ht="14.55" customHeight="1">
      <c r="X39" s="21"/>
      <c r="AR39"/>
      <c r="BX39"/>
    </row>
    <row r="40" spans="24:76" ht="14.55" customHeight="1">
      <c r="X40" s="21"/>
      <c r="AR40"/>
      <c r="BX40"/>
    </row>
    <row r="41" spans="24:76" ht="14.55" customHeight="1">
      <c r="X41" s="21"/>
      <c r="AR41" s="30" t="s">
        <v>21</v>
      </c>
      <c r="AS41" s="30" t="s">
        <v>20</v>
      </c>
      <c r="AT41" s="30" t="s">
        <v>30</v>
      </c>
      <c r="AU41" s="30" t="s">
        <v>22</v>
      </c>
      <c r="AV41" s="30" t="s">
        <v>39</v>
      </c>
      <c r="AW41" s="30" t="s">
        <v>40</v>
      </c>
      <c r="AX41" s="30" t="s">
        <v>41</v>
      </c>
      <c r="AY41" s="30" t="s">
        <v>42</v>
      </c>
      <c r="AZ41" s="17"/>
      <c r="BA41" s="12" t="s">
        <v>21</v>
      </c>
      <c r="BB41" s="12" t="s">
        <v>20</v>
      </c>
      <c r="BC41" s="12" t="s">
        <v>30</v>
      </c>
      <c r="BD41" s="12" t="s">
        <v>22</v>
      </c>
      <c r="BE41" s="12" t="s">
        <v>39</v>
      </c>
      <c r="BF41" s="12" t="s">
        <v>40</v>
      </c>
      <c r="BG41" s="12" t="s">
        <v>41</v>
      </c>
      <c r="BH41" s="12" t="s">
        <v>42</v>
      </c>
      <c r="BX41"/>
    </row>
    <row r="42" spans="24:76" ht="14.55" customHeight="1">
      <c r="X42" s="37"/>
      <c r="AR42" s="30" t="s">
        <v>0</v>
      </c>
      <c r="AS42" s="30" t="s">
        <v>131</v>
      </c>
      <c r="AT42" s="57">
        <f>Support_Data!D22</f>
        <v>3732.63</v>
      </c>
      <c r="AU42" s="57">
        <f>Support_Data!E22</f>
        <v>4136.49</v>
      </c>
      <c r="AV42" s="57">
        <f>Support_Data!F22</f>
        <v>5048.9799999999996</v>
      </c>
      <c r="AW42" s="57">
        <f>Support_Data!G22</f>
        <v>5851.14</v>
      </c>
      <c r="AX42" s="57">
        <f>Support_Data!H22</f>
        <v>3791.3199999999997</v>
      </c>
      <c r="AY42" s="57">
        <f>Support_Data!I22</f>
        <v>1441.34</v>
      </c>
      <c r="BA42" s="15" t="s">
        <v>0</v>
      </c>
      <c r="BB42" s="15" t="s">
        <v>131</v>
      </c>
      <c r="BC42" s="36">
        <f>Support_Data!M22</f>
        <v>2245.59</v>
      </c>
      <c r="BD42" s="36">
        <f>Support_Data!N22</f>
        <v>2271.6799999999998</v>
      </c>
      <c r="BE42" s="36">
        <f>Support_Data!O22</f>
        <v>2758.5699999999997</v>
      </c>
      <c r="BF42" s="36">
        <f>Support_Data!P22</f>
        <v>3513.37</v>
      </c>
      <c r="BG42" s="36">
        <f>Support_Data!Q22</f>
        <v>2276.7600000000002</v>
      </c>
      <c r="BH42" s="36">
        <f>Support_Data!R22</f>
        <v>1441.34</v>
      </c>
      <c r="BV42" s="10"/>
      <c r="BX42"/>
    </row>
    <row r="43" spans="24:76" ht="14.55" customHeight="1">
      <c r="X43" s="21"/>
      <c r="AR43" s="30" t="s">
        <v>1</v>
      </c>
      <c r="AS43" s="30" t="s">
        <v>130</v>
      </c>
      <c r="AT43" s="57">
        <f>Support_Data!D23</f>
        <v>6939.33</v>
      </c>
      <c r="AU43" s="57">
        <f>Support_Data!E23</f>
        <v>6626.45</v>
      </c>
      <c r="AV43" s="57">
        <f>Support_Data!F23</f>
        <v>7381.1399999999994</v>
      </c>
      <c r="AW43" s="57">
        <f>Support_Data!G23</f>
        <v>9540.0099999999984</v>
      </c>
      <c r="AX43" s="57">
        <f>Support_Data!H23</f>
        <v>6862.87</v>
      </c>
      <c r="AY43" s="57">
        <f>Support_Data!I23</f>
        <v>3529.23</v>
      </c>
      <c r="BA43" s="15" t="s">
        <v>1</v>
      </c>
      <c r="BB43" s="15" t="s">
        <v>130</v>
      </c>
      <c r="BC43" s="36">
        <f>Support_Data!M23</f>
        <v>3812.1</v>
      </c>
      <c r="BD43" s="36">
        <f>Support_Data!N23</f>
        <v>3373.17</v>
      </c>
      <c r="BE43" s="36">
        <f>Support_Data!O23</f>
        <v>4168.2699999999995</v>
      </c>
      <c r="BF43" s="36">
        <f>Support_Data!P23</f>
        <v>5508.0300000000007</v>
      </c>
      <c r="BG43" s="36">
        <f>Support_Data!Q23</f>
        <v>3962.1500000000005</v>
      </c>
      <c r="BH43" s="36">
        <f>Support_Data!R23</f>
        <v>3529.23</v>
      </c>
      <c r="BX43"/>
    </row>
    <row r="44" spans="24:76" ht="14.55" customHeight="1">
      <c r="X44" s="21"/>
      <c r="AR44" s="30" t="s">
        <v>2</v>
      </c>
      <c r="AS44" s="30" t="s">
        <v>132</v>
      </c>
      <c r="AT44" s="57">
        <f>Support_Data!D24</f>
        <v>4133.6999999999989</v>
      </c>
      <c r="AU44" s="57">
        <f>Support_Data!E24</f>
        <v>5277.6000000000013</v>
      </c>
      <c r="AV44" s="57">
        <f>Support_Data!F24</f>
        <v>4467.1500000000005</v>
      </c>
      <c r="AW44" s="57">
        <f>Support_Data!G24</f>
        <v>5094.96</v>
      </c>
      <c r="AX44" s="57">
        <f>Support_Data!H24</f>
        <v>5448.83</v>
      </c>
      <c r="AY44" s="57">
        <f>Support_Data!I24</f>
        <v>2213.2199999999998</v>
      </c>
      <c r="BA44" s="15" t="s">
        <v>2</v>
      </c>
      <c r="BB44" s="15" t="s">
        <v>132</v>
      </c>
      <c r="BC44" s="36">
        <f>Support_Data!M24</f>
        <v>1961.49</v>
      </c>
      <c r="BD44" s="36">
        <f>Support_Data!N24</f>
        <v>2583.6199999999994</v>
      </c>
      <c r="BE44" s="36">
        <f>Support_Data!O24</f>
        <v>2608.0500000000002</v>
      </c>
      <c r="BF44" s="36">
        <f>Support_Data!P24</f>
        <v>2639.0299999999997</v>
      </c>
      <c r="BG44" s="36">
        <f>Support_Data!Q24</f>
        <v>2771.4300000000003</v>
      </c>
      <c r="BH44" s="36">
        <f>Support_Data!R24</f>
        <v>2213.2199999999998</v>
      </c>
      <c r="BX44"/>
    </row>
    <row r="45" spans="24:76" ht="14.55" customHeight="1">
      <c r="X45" s="21"/>
      <c r="AR45" s="30" t="s">
        <v>3</v>
      </c>
      <c r="AS45" s="30" t="s">
        <v>133</v>
      </c>
      <c r="AT45" s="57">
        <f>Support_Data!D25</f>
        <v>3715.8999999999996</v>
      </c>
      <c r="AU45" s="57">
        <f>Support_Data!E25</f>
        <v>5863.4199999999992</v>
      </c>
      <c r="AV45" s="57">
        <f>Support_Data!F25</f>
        <v>6478.8</v>
      </c>
      <c r="AW45" s="57">
        <f>Support_Data!G25</f>
        <v>7518.86</v>
      </c>
      <c r="AX45" s="57">
        <f>Support_Data!H25</f>
        <v>7497.87</v>
      </c>
      <c r="AY45" s="57">
        <f>Support_Data!I25</f>
        <v>3040.5099999999993</v>
      </c>
      <c r="BA45" s="15" t="s">
        <v>3</v>
      </c>
      <c r="BB45" s="15" t="s">
        <v>133</v>
      </c>
      <c r="BC45" s="36">
        <f>Support_Data!M25</f>
        <v>1709.9499999999998</v>
      </c>
      <c r="BD45" s="36">
        <f>Support_Data!N25</f>
        <v>2591.37</v>
      </c>
      <c r="BE45" s="36">
        <f>Support_Data!O25</f>
        <v>3336.02</v>
      </c>
      <c r="BF45" s="36">
        <f>Support_Data!P25</f>
        <v>4441.9399999999996</v>
      </c>
      <c r="BG45" s="36">
        <f>Support_Data!Q25</f>
        <v>4227.97</v>
      </c>
      <c r="BH45" s="36">
        <f>Support_Data!R25</f>
        <v>3040.5099999999993</v>
      </c>
      <c r="BX45"/>
    </row>
    <row r="46" spans="24:76" ht="14.55" customHeight="1">
      <c r="X46" s="21"/>
      <c r="AR46" s="30" t="s">
        <v>4</v>
      </c>
      <c r="AS46" s="30" t="s">
        <v>134</v>
      </c>
      <c r="AT46" s="57">
        <f>Support_Data!D26</f>
        <v>11947.449999999999</v>
      </c>
      <c r="AU46" s="57">
        <f>Support_Data!E26</f>
        <v>18839.420000000002</v>
      </c>
      <c r="AV46" s="57">
        <f>Support_Data!F26</f>
        <v>19230.98</v>
      </c>
      <c r="AW46" s="57">
        <f>Support_Data!G26</f>
        <v>19760.13</v>
      </c>
      <c r="AX46" s="57">
        <f>Support_Data!H26</f>
        <v>23967.329999999998</v>
      </c>
      <c r="AY46" s="57">
        <f>Support_Data!I26</f>
        <v>9046.5</v>
      </c>
      <c r="BA46" s="15" t="s">
        <v>4</v>
      </c>
      <c r="BB46" s="15" t="s">
        <v>134</v>
      </c>
      <c r="BC46" s="36">
        <f>Support_Data!M26</f>
        <v>5948.72</v>
      </c>
      <c r="BD46" s="36">
        <f>Support_Data!N26</f>
        <v>11327.669999999998</v>
      </c>
      <c r="BE46" s="36">
        <f>Support_Data!O26</f>
        <v>11155.039999999999</v>
      </c>
      <c r="BF46" s="36">
        <f>Support_Data!P26</f>
        <v>12248.869999999999</v>
      </c>
      <c r="BG46" s="36">
        <f>Support_Data!Q26</f>
        <v>14314.249999999998</v>
      </c>
      <c r="BH46" s="36">
        <f>Support_Data!R26</f>
        <v>9046.5</v>
      </c>
      <c r="BX46"/>
    </row>
    <row r="47" spans="24:76" ht="14.55" customHeight="1">
      <c r="X47" s="21"/>
      <c r="AR47" s="30" t="s">
        <v>5</v>
      </c>
      <c r="AS47" s="30" t="s">
        <v>135</v>
      </c>
      <c r="AT47" s="57">
        <f>Support_Data!D27</f>
        <v>3088.79</v>
      </c>
      <c r="AU47" s="57">
        <f>Support_Data!E27</f>
        <v>3593.04</v>
      </c>
      <c r="AV47" s="57">
        <f>Support_Data!F27</f>
        <v>4957.92</v>
      </c>
      <c r="AW47" s="57">
        <f>Support_Data!G27</f>
        <v>3967.81</v>
      </c>
      <c r="AX47" s="57">
        <f>Support_Data!H27</f>
        <v>5295.71</v>
      </c>
      <c r="AY47" s="57">
        <f>Support_Data!I27</f>
        <v>3194.74</v>
      </c>
      <c r="BA47" s="15" t="s">
        <v>5</v>
      </c>
      <c r="BB47" s="15" t="s">
        <v>135</v>
      </c>
      <c r="BC47" s="36">
        <f>Support_Data!M27</f>
        <v>1727.0899999999997</v>
      </c>
      <c r="BD47" s="36">
        <f>Support_Data!N27</f>
        <v>2187.36</v>
      </c>
      <c r="BE47" s="36">
        <f>Support_Data!O27</f>
        <v>3177.8999999999996</v>
      </c>
      <c r="BF47" s="36">
        <f>Support_Data!P27</f>
        <v>2378.16</v>
      </c>
      <c r="BG47" s="36">
        <f>Support_Data!Q27</f>
        <v>2910.56</v>
      </c>
      <c r="BH47" s="36">
        <f>Support_Data!R27</f>
        <v>3194.74</v>
      </c>
      <c r="BX47"/>
    </row>
    <row r="48" spans="24:76" ht="14.55" customHeight="1">
      <c r="X48" s="21"/>
      <c r="AR48" s="30" t="s">
        <v>6</v>
      </c>
      <c r="AS48" s="30" t="s">
        <v>136</v>
      </c>
      <c r="AT48" s="57">
        <f>Support_Data!D28</f>
        <v>2762.06</v>
      </c>
      <c r="AU48" s="57">
        <f>Support_Data!E28</f>
        <v>3800.6099999999997</v>
      </c>
      <c r="AV48" s="57">
        <f>Support_Data!F28</f>
        <v>4042.93</v>
      </c>
      <c r="AW48" s="57">
        <f>Support_Data!G28</f>
        <v>4670.25</v>
      </c>
      <c r="AX48" s="57">
        <f>Support_Data!H28</f>
        <v>4436.8499999999995</v>
      </c>
      <c r="AY48" s="57">
        <f>Support_Data!I28</f>
        <v>2474.0799999999995</v>
      </c>
      <c r="BA48" s="15" t="s">
        <v>6</v>
      </c>
      <c r="BB48" s="15" t="s">
        <v>136</v>
      </c>
      <c r="BC48" s="36">
        <f>Support_Data!M28</f>
        <v>1490.9</v>
      </c>
      <c r="BD48" s="36">
        <f>Support_Data!N28</f>
        <v>2392.88</v>
      </c>
      <c r="BE48" s="36">
        <f>Support_Data!O28</f>
        <v>2569.0299999999997</v>
      </c>
      <c r="BF48" s="36">
        <f>Support_Data!P28</f>
        <v>2603.4700000000003</v>
      </c>
      <c r="BG48" s="36">
        <f>Support_Data!Q28</f>
        <v>2498.6099999999997</v>
      </c>
      <c r="BH48" s="36">
        <f>Support_Data!R28</f>
        <v>2474.0799999999995</v>
      </c>
      <c r="BX48"/>
    </row>
    <row r="49" spans="1:76" ht="14.55" customHeight="1">
      <c r="X49" s="21"/>
      <c r="AR49" s="30" t="s">
        <v>7</v>
      </c>
      <c r="AS49" s="30" t="s">
        <v>137</v>
      </c>
      <c r="AT49" s="57">
        <f>Support_Data!D29</f>
        <v>3110.12</v>
      </c>
      <c r="AU49" s="57">
        <f>Support_Data!E29</f>
        <v>4111.17</v>
      </c>
      <c r="AV49" s="57">
        <f>Support_Data!F29</f>
        <v>4214.3899999999994</v>
      </c>
      <c r="AW49" s="57">
        <f>Support_Data!G29</f>
        <v>3105.9</v>
      </c>
      <c r="AX49" s="57">
        <f>Support_Data!H29</f>
        <v>2440.6799999999998</v>
      </c>
      <c r="AY49" s="57">
        <f>Support_Data!I29</f>
        <v>1463.0800000000002</v>
      </c>
      <c r="BA49" s="15" t="s">
        <v>7</v>
      </c>
      <c r="BB49" s="15" t="s">
        <v>137</v>
      </c>
      <c r="BC49" s="36">
        <f>Support_Data!M29</f>
        <v>1349.39</v>
      </c>
      <c r="BD49" s="36">
        <f>Support_Data!N29</f>
        <v>2171.98</v>
      </c>
      <c r="BE49" s="36">
        <f>Support_Data!O29</f>
        <v>2646.03</v>
      </c>
      <c r="BF49" s="36">
        <f>Support_Data!P29</f>
        <v>1812.56</v>
      </c>
      <c r="BG49" s="36">
        <f>Support_Data!Q29</f>
        <v>1548.53</v>
      </c>
      <c r="BH49" s="36">
        <f>Support_Data!R29</f>
        <v>1463.0800000000002</v>
      </c>
      <c r="BX49"/>
    </row>
    <row r="50" spans="1:76" ht="14.55" customHeight="1">
      <c r="B50" s="4" t="str">
        <f t="array" ref="B50">IFERROR(INDEX(#REF!,SMALL(IF(#REF!=$BD$3,ROW(#REF!)-MIN(ROW(#REF!))+1),#REF!)), "")</f>
        <v/>
      </c>
      <c r="C50" s="4" t="str">
        <f t="array" ref="C50">IFERROR(INDEX(#REF!,SMALL(IF(#REF!=$BD$3,ROW(#REF!)-MIN(ROW(#REF!))+1),#REF!)), "")</f>
        <v/>
      </c>
      <c r="D50" s="4" t="str">
        <f t="array" ref="D50">IFERROR(INDEX(#REF!,SMALL(IF(#REF!=$BD$3,ROW(#REF!)-MIN(ROW(#REF!))+1),#REF!)), "")</f>
        <v/>
      </c>
      <c r="E50" s="4" t="str">
        <f t="array" ref="E50">IFERROR(INDEX(#REF!,SMALL(IF(#REF!=$BD$3,ROW(#REF!)-MIN(ROW(#REF!))+1),#REF!)), "")</f>
        <v/>
      </c>
      <c r="F50" s="4" t="str">
        <f t="array" ref="F50">IFERROR(INDEX(#REF!,SMALL(IF(#REF!=$BD$3,ROW(#REF!)-MIN(ROW(#REF!))+1),#REF!)), "")</f>
        <v/>
      </c>
      <c r="G50" s="4" t="str">
        <f t="array" ref="G50">IFERROR(INDEX(#REF!,SMALL(IF(#REF!=$BD$3,ROW(#REF!)-MIN(ROW(#REF!))+1),#REF!)), "")</f>
        <v/>
      </c>
      <c r="H50" s="4" t="str">
        <f t="array" ref="H50">IFERROR(INDEX(#REF!,SMALL(IF(#REF!=$BD$3,ROW(#REF!)-MIN(ROW(#REF!))+1),#REF!)), "")</f>
        <v/>
      </c>
      <c r="I50" s="4" t="str">
        <f t="array" ref="I50">IFERROR(INDEX(#REF!,SMALL(IF(#REF!=$BD$3,ROW(#REF!)-MIN(ROW(#REF!))+1),#REF!)), "")</f>
        <v/>
      </c>
      <c r="J50" s="4" t="str">
        <f t="array" ref="J50">IFERROR(INDEX(#REF!,SMALL(IF(#REF!=$BD$3,ROW(#REF!)-MIN(ROW(#REF!))+1),#REF!)), "")</f>
        <v/>
      </c>
      <c r="X50" s="21"/>
      <c r="AR50" s="30" t="s">
        <v>8</v>
      </c>
      <c r="AS50" s="30" t="s">
        <v>138</v>
      </c>
      <c r="AT50" s="57">
        <f>Support_Data!D30</f>
        <v>3061.7200000000003</v>
      </c>
      <c r="AU50" s="57">
        <f>Support_Data!E30</f>
        <v>2809.96</v>
      </c>
      <c r="AV50" s="57">
        <f>Support_Data!F30</f>
        <v>2694.67</v>
      </c>
      <c r="AW50" s="57">
        <f>Support_Data!G30</f>
        <v>2789.1400000000003</v>
      </c>
      <c r="AX50" s="57">
        <f>Support_Data!H30</f>
        <v>3064.9499999999994</v>
      </c>
      <c r="AY50" s="57">
        <f>Support_Data!I30</f>
        <v>1140.8999999999999</v>
      </c>
      <c r="BA50" s="15" t="s">
        <v>8</v>
      </c>
      <c r="BB50" s="15" t="s">
        <v>138</v>
      </c>
      <c r="BC50" s="36">
        <f>Support_Data!M30</f>
        <v>1544.8000000000002</v>
      </c>
      <c r="BD50" s="36">
        <f>Support_Data!N30</f>
        <v>1166.9000000000001</v>
      </c>
      <c r="BE50" s="36">
        <f>Support_Data!O30</f>
        <v>1397.45</v>
      </c>
      <c r="BF50" s="36">
        <f>Support_Data!P30</f>
        <v>1848.5700000000002</v>
      </c>
      <c r="BG50" s="36">
        <f>Support_Data!Q30</f>
        <v>1749.5000000000002</v>
      </c>
      <c r="BH50" s="36">
        <f>Support_Data!R30</f>
        <v>1140.8999999999999</v>
      </c>
      <c r="BX50"/>
    </row>
    <row r="51" spans="1:76" ht="14.25" customHeight="1">
      <c r="X51" s="21"/>
      <c r="AR51" s="30" t="s">
        <v>9</v>
      </c>
      <c r="AS51" s="30" t="s">
        <v>139</v>
      </c>
      <c r="AT51" s="57">
        <f>Support_Data!D31</f>
        <v>607.09999999999991</v>
      </c>
      <c r="AU51" s="57">
        <f>Support_Data!E31</f>
        <v>1311.02</v>
      </c>
      <c r="AV51" s="57">
        <f>Support_Data!F31</f>
        <v>1238.28</v>
      </c>
      <c r="AW51" s="57">
        <f>Support_Data!G31</f>
        <v>1370.01</v>
      </c>
      <c r="AX51" s="57">
        <f>Support_Data!H31</f>
        <v>1315.55</v>
      </c>
      <c r="AY51" s="57">
        <f>Support_Data!I31</f>
        <v>912.26</v>
      </c>
      <c r="BA51" s="15" t="s">
        <v>9</v>
      </c>
      <c r="BB51" s="15" t="s">
        <v>139</v>
      </c>
      <c r="BC51" s="36">
        <f>Support_Data!M31</f>
        <v>228.75</v>
      </c>
      <c r="BD51" s="36">
        <f>Support_Data!N31</f>
        <v>741.56999999999994</v>
      </c>
      <c r="BE51" s="36">
        <f>Support_Data!O31</f>
        <v>716.43000000000006</v>
      </c>
      <c r="BF51" s="36">
        <f>Support_Data!P31</f>
        <v>972.98</v>
      </c>
      <c r="BG51" s="36">
        <f>Support_Data!Q31</f>
        <v>811.65</v>
      </c>
      <c r="BH51" s="36">
        <f>Support_Data!R31</f>
        <v>912.26</v>
      </c>
      <c r="BX51"/>
    </row>
    <row r="52" spans="1:76" s="10" customFormat="1" ht="19.2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21"/>
      <c r="Y52" s="4"/>
      <c r="Z52"/>
      <c r="AA52"/>
      <c r="AK52"/>
      <c r="AL52"/>
      <c r="AM52"/>
      <c r="AN52"/>
      <c r="AO52"/>
      <c r="AP52"/>
      <c r="AQ52" s="4"/>
      <c r="AR52" s="30" t="s">
        <v>10</v>
      </c>
      <c r="AS52" s="30" t="s">
        <v>140</v>
      </c>
      <c r="AT52" s="57">
        <f>Support_Data!D32</f>
        <v>3887.1</v>
      </c>
      <c r="AU52" s="57">
        <f>Support_Data!E32</f>
        <v>5808.41</v>
      </c>
      <c r="AV52" s="57">
        <f>Support_Data!F32</f>
        <v>7230.0599999999995</v>
      </c>
      <c r="AW52" s="57">
        <f>Support_Data!G32</f>
        <v>6804.68</v>
      </c>
      <c r="AX52" s="57">
        <f>Support_Data!H32</f>
        <v>5610.3499999999995</v>
      </c>
      <c r="AY52" s="57">
        <f>Support_Data!I32</f>
        <v>2202.2799999999997</v>
      </c>
      <c r="AZ52"/>
      <c r="BA52" s="15" t="s">
        <v>10</v>
      </c>
      <c r="BB52" s="15" t="s">
        <v>140</v>
      </c>
      <c r="BC52" s="36">
        <f>Support_Data!M32</f>
        <v>1830.14</v>
      </c>
      <c r="BD52" s="36">
        <f>Support_Data!N32</f>
        <v>2495.06</v>
      </c>
      <c r="BE52" s="36">
        <f>Support_Data!O32</f>
        <v>3909.6800000000003</v>
      </c>
      <c r="BF52" s="36">
        <f>Support_Data!P32</f>
        <v>3319.2300000000005</v>
      </c>
      <c r="BG52" s="36">
        <f>Support_Data!Q32</f>
        <v>2681.55</v>
      </c>
      <c r="BH52" s="36">
        <f>Support_Data!R32</f>
        <v>2202.2799999999997</v>
      </c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X52"/>
    </row>
    <row r="53" spans="1:76" ht="14.55" customHeight="1">
      <c r="X53" s="21"/>
      <c r="AR53" s="30" t="s">
        <v>11</v>
      </c>
      <c r="AS53" s="30" t="s">
        <v>141</v>
      </c>
      <c r="AT53" s="57">
        <f>Support_Data!D33</f>
        <v>2747.49</v>
      </c>
      <c r="AU53" s="57">
        <f>Support_Data!E33</f>
        <v>4642.9800000000005</v>
      </c>
      <c r="AV53" s="57">
        <f>Support_Data!F33</f>
        <v>6765.6100000000006</v>
      </c>
      <c r="AW53" s="57">
        <f>Support_Data!G33</f>
        <v>5899.8099999999995</v>
      </c>
      <c r="AX53" s="57">
        <f>Support_Data!H33</f>
        <v>6978.4000000000015</v>
      </c>
      <c r="AY53" s="57">
        <f>Support_Data!I33</f>
        <v>1930.1999999999998</v>
      </c>
      <c r="BA53" s="15" t="s">
        <v>11</v>
      </c>
      <c r="BB53" s="15" t="s">
        <v>141</v>
      </c>
      <c r="BC53" s="36">
        <f>Support_Data!M33</f>
        <v>1795.38</v>
      </c>
      <c r="BD53" s="36">
        <f>Support_Data!N33</f>
        <v>2975.01</v>
      </c>
      <c r="BE53" s="36">
        <f>Support_Data!O33</f>
        <v>3977.5599999999995</v>
      </c>
      <c r="BF53" s="36">
        <f>Support_Data!P33</f>
        <v>3160.76</v>
      </c>
      <c r="BG53" s="36">
        <f>Support_Data!Q33</f>
        <v>3869.55</v>
      </c>
      <c r="BH53" s="36">
        <f>Support_Data!R33</f>
        <v>1930.1999999999998</v>
      </c>
      <c r="BX53"/>
    </row>
    <row r="54" spans="1:76" ht="14.55" customHeight="1">
      <c r="X54" s="21"/>
      <c r="AR54" s="30" t="s">
        <v>12</v>
      </c>
      <c r="AS54" s="30" t="s">
        <v>142</v>
      </c>
      <c r="AT54" s="57">
        <f>Support_Data!D34</f>
        <v>2566.85</v>
      </c>
      <c r="AU54" s="57">
        <f>Support_Data!E34</f>
        <v>4321.3900000000003</v>
      </c>
      <c r="AV54" s="57">
        <f>Support_Data!F34</f>
        <v>11731.1</v>
      </c>
      <c r="AW54" s="57">
        <f>Support_Data!G34</f>
        <v>9728.2300000000032</v>
      </c>
      <c r="AX54" s="57">
        <f>Support_Data!H34</f>
        <v>6428.43</v>
      </c>
      <c r="AY54" s="57">
        <f>Support_Data!I34</f>
        <v>2417.0099999999998</v>
      </c>
      <c r="BA54" s="15" t="s">
        <v>12</v>
      </c>
      <c r="BB54" s="15" t="s">
        <v>142</v>
      </c>
      <c r="BC54" s="36">
        <f>Support_Data!M34</f>
        <v>1365.0900000000001</v>
      </c>
      <c r="BD54" s="36">
        <f>Support_Data!N34</f>
        <v>2382.71</v>
      </c>
      <c r="BE54" s="36">
        <f>Support_Data!O34</f>
        <v>5574.11</v>
      </c>
      <c r="BF54" s="36">
        <f>Support_Data!P34</f>
        <v>6662.3700000000008</v>
      </c>
      <c r="BG54" s="36">
        <f>Support_Data!Q34</f>
        <v>3582.4600000000005</v>
      </c>
      <c r="BH54" s="36">
        <f>Support_Data!R34</f>
        <v>2417.0099999999998</v>
      </c>
      <c r="BX54"/>
    </row>
    <row r="55" spans="1:76" ht="14.55" customHeight="1">
      <c r="X55" s="21"/>
      <c r="AR55" s="30" t="s">
        <v>13</v>
      </c>
      <c r="AS55" s="30" t="s">
        <v>143</v>
      </c>
      <c r="AT55" s="57">
        <f>Support_Data!D35</f>
        <v>4231.9599999999991</v>
      </c>
      <c r="AU55" s="57">
        <f>Support_Data!E35</f>
        <v>8010.7199999999993</v>
      </c>
      <c r="AV55" s="57">
        <f>Support_Data!F35</f>
        <v>5172.6499999999996</v>
      </c>
      <c r="AW55" s="57">
        <f>Support_Data!G35</f>
        <v>4955.07</v>
      </c>
      <c r="AX55" s="57">
        <f>Support_Data!H35</f>
        <v>3122.7000000000003</v>
      </c>
      <c r="AY55" s="57">
        <f>Support_Data!I35</f>
        <v>1518.55</v>
      </c>
      <c r="BA55" s="15" t="s">
        <v>13</v>
      </c>
      <c r="BB55" s="15" t="s">
        <v>143</v>
      </c>
      <c r="BC55" s="36">
        <f>Support_Data!M35</f>
        <v>2037.6100000000001</v>
      </c>
      <c r="BD55" s="36">
        <f>Support_Data!N35</f>
        <v>2662.57</v>
      </c>
      <c r="BE55" s="36">
        <f>Support_Data!O35</f>
        <v>3167.84</v>
      </c>
      <c r="BF55" s="36">
        <f>Support_Data!P35</f>
        <v>2656.37</v>
      </c>
      <c r="BG55" s="36">
        <f>Support_Data!Q35</f>
        <v>1900.95</v>
      </c>
      <c r="BH55" s="36">
        <f>Support_Data!R35</f>
        <v>1518.55</v>
      </c>
      <c r="BX55"/>
    </row>
    <row r="56" spans="1:76" ht="14.55" customHeight="1">
      <c r="X56" s="21"/>
      <c r="AR56" s="30" t="s">
        <v>14</v>
      </c>
      <c r="AS56" s="30" t="s">
        <v>144</v>
      </c>
      <c r="AT56" s="57">
        <f>Support_Data!D36</f>
        <v>398.6</v>
      </c>
      <c r="AU56" s="57">
        <f>Support_Data!E36</f>
        <v>604.75</v>
      </c>
      <c r="AV56" s="57">
        <f>Support_Data!F36</f>
        <v>1204.07</v>
      </c>
      <c r="AW56" s="57">
        <f>Support_Data!G36</f>
        <v>950.25</v>
      </c>
      <c r="AX56" s="57">
        <f>Support_Data!H36</f>
        <v>778.74</v>
      </c>
      <c r="AY56" s="57">
        <f>Support_Data!I36</f>
        <v>376.75</v>
      </c>
      <c r="BA56" s="15" t="s">
        <v>14</v>
      </c>
      <c r="BB56" s="15" t="s">
        <v>144</v>
      </c>
      <c r="BC56" s="36">
        <f>Support_Data!M36</f>
        <v>216.35</v>
      </c>
      <c r="BD56" s="36">
        <f>Support_Data!N36</f>
        <v>349</v>
      </c>
      <c r="BE56" s="36">
        <f>Support_Data!O36</f>
        <v>804.25</v>
      </c>
      <c r="BF56" s="36">
        <f>Support_Data!P36</f>
        <v>635.75</v>
      </c>
      <c r="BG56" s="36">
        <f>Support_Data!Q36</f>
        <v>444.99</v>
      </c>
      <c r="BH56" s="36">
        <f>Support_Data!R36</f>
        <v>376.75</v>
      </c>
      <c r="BX56"/>
    </row>
    <row r="57" spans="1:76" ht="14.55" customHeight="1">
      <c r="X57" s="21"/>
      <c r="AR57" s="30" t="s">
        <v>15</v>
      </c>
      <c r="AS57" s="30" t="s">
        <v>145</v>
      </c>
      <c r="AT57" s="57">
        <f>Support_Data!D37</f>
        <v>402.1</v>
      </c>
      <c r="AU57" s="57">
        <f>Support_Data!E37</f>
        <v>789.2</v>
      </c>
      <c r="AV57" s="57">
        <f>Support_Data!F37</f>
        <v>755.4</v>
      </c>
      <c r="AW57" s="57">
        <f>Support_Data!G37</f>
        <v>906.48</v>
      </c>
      <c r="AX57" s="57">
        <f>Support_Data!H37</f>
        <v>1041.0999999999999</v>
      </c>
      <c r="AY57" s="57">
        <f>Support_Data!I37</f>
        <v>208.07999999999998</v>
      </c>
      <c r="BA57" s="15" t="s">
        <v>15</v>
      </c>
      <c r="BB57" s="15" t="s">
        <v>145</v>
      </c>
      <c r="BC57" s="36">
        <f>Support_Data!M37</f>
        <v>239.95</v>
      </c>
      <c r="BD57" s="36">
        <f>Support_Data!N37</f>
        <v>578.20000000000005</v>
      </c>
      <c r="BE57" s="36">
        <f>Support_Data!O37</f>
        <v>527.15</v>
      </c>
      <c r="BF57" s="36">
        <f>Support_Data!P37</f>
        <v>552.34999999999991</v>
      </c>
      <c r="BG57" s="36">
        <f>Support_Data!Q37</f>
        <v>806.6</v>
      </c>
      <c r="BH57" s="36">
        <f>Support_Data!R37</f>
        <v>208.07999999999998</v>
      </c>
      <c r="BX57"/>
    </row>
    <row r="58" spans="1:76" ht="14.55" customHeight="1">
      <c r="X58" s="21"/>
      <c r="AR58" s="30" t="s">
        <v>27</v>
      </c>
      <c r="AS58" s="30" t="s">
        <v>29</v>
      </c>
      <c r="AT58" s="57">
        <f>Support_Data!D38</f>
        <v>57332.899999999987</v>
      </c>
      <c r="AU58" s="57">
        <f>Support_Data!E38</f>
        <v>80546.62999999999</v>
      </c>
      <c r="AV58" s="57">
        <f>Support_Data!F38</f>
        <v>92614.13</v>
      </c>
      <c r="AW58" s="57">
        <f>Support_Data!G38</f>
        <v>92912.73</v>
      </c>
      <c r="AX58" s="57">
        <f>Support_Data!H38</f>
        <v>88081.68</v>
      </c>
      <c r="AY58" s="57">
        <f>Support_Data!I38</f>
        <v>37108.730000000003</v>
      </c>
      <c r="BA58" s="15" t="s">
        <v>27</v>
      </c>
      <c r="BB58" s="14" t="s">
        <v>29</v>
      </c>
      <c r="BC58" s="36">
        <f>Support_Data!M38</f>
        <v>29503.300000000003</v>
      </c>
      <c r="BD58" s="36">
        <f>Support_Data!N38</f>
        <v>42250.75</v>
      </c>
      <c r="BE58" s="36">
        <f>Support_Data!O38</f>
        <v>52493.38</v>
      </c>
      <c r="BF58" s="36">
        <f>Support_Data!P38</f>
        <v>54953.810000000005</v>
      </c>
      <c r="BG58" s="36">
        <f>Support_Data!Q38</f>
        <v>50357.509999999995</v>
      </c>
      <c r="BH58" s="36">
        <f>Support_Data!R38</f>
        <v>37108.730000000003</v>
      </c>
      <c r="BX58"/>
    </row>
    <row r="59" spans="1:76" ht="14.55" customHeight="1">
      <c r="X59" s="21"/>
      <c r="AR59"/>
      <c r="BX59"/>
    </row>
    <row r="60" spans="1:76" ht="14.55" customHeight="1">
      <c r="X60" s="21"/>
      <c r="AR60"/>
      <c r="BX60"/>
    </row>
    <row r="61" spans="1:76" ht="14.55" customHeight="1">
      <c r="X61" s="21"/>
      <c r="AR61" s="30" t="s">
        <v>21</v>
      </c>
      <c r="AS61" s="30" t="s">
        <v>20</v>
      </c>
      <c r="AT61" s="30" t="s">
        <v>30</v>
      </c>
      <c r="AU61" s="30" t="s">
        <v>22</v>
      </c>
      <c r="AV61" s="30" t="s">
        <v>39</v>
      </c>
      <c r="AW61" s="30" t="s">
        <v>40</v>
      </c>
      <c r="AX61" s="30" t="s">
        <v>41</v>
      </c>
      <c r="AY61" s="30" t="s">
        <v>42</v>
      </c>
      <c r="AZ61" s="17"/>
      <c r="BA61" s="12" t="s">
        <v>21</v>
      </c>
      <c r="BB61" s="12" t="s">
        <v>20</v>
      </c>
      <c r="BC61" s="12" t="s">
        <v>30</v>
      </c>
      <c r="BD61" s="12" t="s">
        <v>22</v>
      </c>
      <c r="BE61" s="12" t="s">
        <v>39</v>
      </c>
      <c r="BF61" s="12" t="s">
        <v>40</v>
      </c>
      <c r="BG61" s="12" t="s">
        <v>41</v>
      </c>
      <c r="BH61" s="12" t="s">
        <v>42</v>
      </c>
      <c r="BX61"/>
    </row>
    <row r="62" spans="1:76" ht="14.55" customHeight="1">
      <c r="X62" s="21"/>
      <c r="AR62" s="30" t="s">
        <v>0</v>
      </c>
      <c r="AS62" s="30" t="s">
        <v>131</v>
      </c>
      <c r="AT62" s="57">
        <f>Support_Data!D42</f>
        <v>5504.5</v>
      </c>
      <c r="AU62" s="57">
        <f>Support_Data!E42</f>
        <v>9808.25</v>
      </c>
      <c r="AV62" s="57">
        <f>Support_Data!F42</f>
        <v>8001.75</v>
      </c>
      <c r="AW62" s="57">
        <f>Support_Data!G42</f>
        <v>9139.18</v>
      </c>
      <c r="AX62" s="57">
        <f>Support_Data!H42</f>
        <v>8650.5499999999993</v>
      </c>
      <c r="AY62" s="57">
        <f>Support_Data!I42</f>
        <v>3602.6600000000003</v>
      </c>
      <c r="BA62" s="15" t="s">
        <v>0</v>
      </c>
      <c r="BB62" s="15" t="s">
        <v>131</v>
      </c>
      <c r="BC62" s="36">
        <f>Support_Data!M42</f>
        <v>2163.8000000000002</v>
      </c>
      <c r="BD62" s="36">
        <f>Support_Data!N42</f>
        <v>4772.45</v>
      </c>
      <c r="BE62" s="36">
        <f>Support_Data!O42</f>
        <v>3970</v>
      </c>
      <c r="BF62" s="36">
        <f>Support_Data!P42</f>
        <v>4978.1499999999996</v>
      </c>
      <c r="BG62" s="36">
        <f>Support_Data!Q42</f>
        <v>4403.84</v>
      </c>
      <c r="BH62" s="36">
        <f>Support_Data!R42</f>
        <v>3602.6600000000003</v>
      </c>
      <c r="BX62"/>
    </row>
    <row r="63" spans="1:76" ht="14.55" customHeight="1">
      <c r="X63" s="21"/>
      <c r="AR63" s="30" t="s">
        <v>1</v>
      </c>
      <c r="AS63" s="30" t="s">
        <v>130</v>
      </c>
      <c r="AT63" s="57">
        <f>Support_Data!D43</f>
        <v>11762.83</v>
      </c>
      <c r="AU63" s="57">
        <f>Support_Data!E43</f>
        <v>5249.8899999999994</v>
      </c>
      <c r="AV63" s="57">
        <f>Support_Data!F43</f>
        <v>3589.75</v>
      </c>
      <c r="AW63" s="57">
        <f>Support_Data!G43</f>
        <v>3836.9</v>
      </c>
      <c r="AX63" s="57">
        <f>Support_Data!H43</f>
        <v>4169</v>
      </c>
      <c r="AY63" s="57">
        <f>Support_Data!I43</f>
        <v>1442.9</v>
      </c>
      <c r="BA63" s="15" t="s">
        <v>1</v>
      </c>
      <c r="BB63" s="15" t="s">
        <v>130</v>
      </c>
      <c r="BC63" s="36">
        <f>Support_Data!M43</f>
        <v>5713.75</v>
      </c>
      <c r="BD63" s="36">
        <f>Support_Data!N43</f>
        <v>3120.22</v>
      </c>
      <c r="BE63" s="36">
        <f>Support_Data!O43</f>
        <v>1746.7</v>
      </c>
      <c r="BF63" s="36">
        <f>Support_Data!P43</f>
        <v>1743.75</v>
      </c>
      <c r="BG63" s="36">
        <f>Support_Data!Q43</f>
        <v>2362.75</v>
      </c>
      <c r="BH63" s="36">
        <f>Support_Data!R43</f>
        <v>1442.9</v>
      </c>
      <c r="BX63"/>
    </row>
    <row r="64" spans="1:76" ht="14.55" customHeight="1">
      <c r="X64" s="21"/>
      <c r="AR64" s="30" t="s">
        <v>2</v>
      </c>
      <c r="AS64" s="30" t="s">
        <v>132</v>
      </c>
      <c r="AT64" s="57">
        <f>Support_Data!D44</f>
        <v>5635.52</v>
      </c>
      <c r="AU64" s="57">
        <f>Support_Data!E44</f>
        <v>7398.3399999999992</v>
      </c>
      <c r="AV64" s="57">
        <f>Support_Data!F44</f>
        <v>9140.52</v>
      </c>
      <c r="AW64" s="57">
        <f>Support_Data!G44</f>
        <v>8346.18</v>
      </c>
      <c r="AX64" s="57">
        <f>Support_Data!H44</f>
        <v>8011.1400000000012</v>
      </c>
      <c r="AY64" s="57">
        <f>Support_Data!I44</f>
        <v>2378.5</v>
      </c>
      <c r="BA64" s="15" t="s">
        <v>2</v>
      </c>
      <c r="BB64" s="15" t="s">
        <v>132</v>
      </c>
      <c r="BC64" s="36">
        <f>Support_Data!M44</f>
        <v>2322.3000000000002</v>
      </c>
      <c r="BD64" s="36">
        <f>Support_Data!N44</f>
        <v>3423.1000000000004</v>
      </c>
      <c r="BE64" s="36">
        <f>Support_Data!O44</f>
        <v>4502.3799999999992</v>
      </c>
      <c r="BF64" s="36">
        <f>Support_Data!P44</f>
        <v>4766.8500000000004</v>
      </c>
      <c r="BG64" s="36">
        <f>Support_Data!Q44</f>
        <v>4482.96</v>
      </c>
      <c r="BH64" s="36">
        <f>Support_Data!R44</f>
        <v>2378.5</v>
      </c>
      <c r="BX64"/>
    </row>
    <row r="65" spans="1:76" ht="14.55" customHeight="1">
      <c r="X65" s="21"/>
      <c r="AR65" s="30" t="s">
        <v>3</v>
      </c>
      <c r="AS65" s="30" t="s">
        <v>133</v>
      </c>
      <c r="AT65" s="57">
        <f>Support_Data!D45</f>
        <v>6723.71</v>
      </c>
      <c r="AU65" s="57">
        <f>Support_Data!E45</f>
        <v>7821.7400000000007</v>
      </c>
      <c r="AV65" s="57">
        <f>Support_Data!F45</f>
        <v>10598.56</v>
      </c>
      <c r="AW65" s="57">
        <f>Support_Data!G45</f>
        <v>11326.73</v>
      </c>
      <c r="AX65" s="57">
        <f>Support_Data!H45</f>
        <v>13826.630000000001</v>
      </c>
      <c r="AY65" s="57">
        <f>Support_Data!I45</f>
        <v>5491.7999999999993</v>
      </c>
      <c r="BA65" s="15" t="s">
        <v>3</v>
      </c>
      <c r="BB65" s="15" t="s">
        <v>133</v>
      </c>
      <c r="BC65" s="36">
        <f>Support_Data!M45</f>
        <v>3613.01</v>
      </c>
      <c r="BD65" s="36">
        <f>Support_Data!N45</f>
        <v>3177.4199999999996</v>
      </c>
      <c r="BE65" s="36">
        <f>Support_Data!O45</f>
        <v>5814.8499999999985</v>
      </c>
      <c r="BF65" s="36">
        <f>Support_Data!P45</f>
        <v>5115.13</v>
      </c>
      <c r="BG65" s="36">
        <f>Support_Data!Q45</f>
        <v>6972.59</v>
      </c>
      <c r="BH65" s="36">
        <f>Support_Data!R45</f>
        <v>5491.7999999999993</v>
      </c>
      <c r="BX65"/>
    </row>
    <row r="66" spans="1:76" ht="14.55" customHeight="1">
      <c r="X66" s="21"/>
      <c r="AR66" s="30" t="s">
        <v>4</v>
      </c>
      <c r="AS66" s="30" t="s">
        <v>134</v>
      </c>
      <c r="AT66" s="57">
        <f>Support_Data!D46</f>
        <v>13072.440000000002</v>
      </c>
      <c r="AU66" s="57">
        <f>Support_Data!E46</f>
        <v>15090.87</v>
      </c>
      <c r="AV66" s="57">
        <f>Support_Data!F46</f>
        <v>15035.529999999999</v>
      </c>
      <c r="AW66" s="57">
        <f>Support_Data!G46</f>
        <v>14796.95</v>
      </c>
      <c r="AX66" s="57">
        <f>Support_Data!H46</f>
        <v>16863.879999999997</v>
      </c>
      <c r="AY66" s="57">
        <f>Support_Data!I46</f>
        <v>6963.34</v>
      </c>
      <c r="BA66" s="15" t="s">
        <v>4</v>
      </c>
      <c r="BB66" s="15" t="s">
        <v>134</v>
      </c>
      <c r="BC66" s="36">
        <f>Support_Data!M46</f>
        <v>6835.1600000000017</v>
      </c>
      <c r="BD66" s="36">
        <f>Support_Data!N46</f>
        <v>7664.93</v>
      </c>
      <c r="BE66" s="36">
        <f>Support_Data!O46</f>
        <v>7028.4499999999989</v>
      </c>
      <c r="BF66" s="36">
        <f>Support_Data!P46</f>
        <v>7435.78</v>
      </c>
      <c r="BG66" s="36">
        <f>Support_Data!Q46</f>
        <v>8719.09</v>
      </c>
      <c r="BH66" s="36">
        <f>Support_Data!R46</f>
        <v>6963.34</v>
      </c>
      <c r="BX66"/>
    </row>
    <row r="67" spans="1:76" ht="14.55" customHeight="1">
      <c r="X67" s="21"/>
      <c r="AR67" s="30" t="s">
        <v>5</v>
      </c>
      <c r="AS67" s="30" t="s">
        <v>135</v>
      </c>
      <c r="AT67" s="57">
        <f>Support_Data!D47</f>
        <v>4461.33</v>
      </c>
      <c r="AU67" s="57">
        <f>Support_Data!E47</f>
        <v>5175.13</v>
      </c>
      <c r="AV67" s="57">
        <f>Support_Data!F47</f>
        <v>3847.43</v>
      </c>
      <c r="AW67" s="57">
        <f>Support_Data!G47</f>
        <v>4051.95</v>
      </c>
      <c r="AX67" s="57">
        <f>Support_Data!H47</f>
        <v>2964.7400000000002</v>
      </c>
      <c r="AY67" s="57">
        <f>Support_Data!I47</f>
        <v>1716.13</v>
      </c>
      <c r="BA67" s="15" t="s">
        <v>5</v>
      </c>
      <c r="BB67" s="15" t="s">
        <v>135</v>
      </c>
      <c r="BC67" s="36">
        <f>Support_Data!M47</f>
        <v>2453.4</v>
      </c>
      <c r="BD67" s="36">
        <f>Support_Data!N47</f>
        <v>2318.6800000000003</v>
      </c>
      <c r="BE67" s="36">
        <f>Support_Data!O47</f>
        <v>1899.25</v>
      </c>
      <c r="BF67" s="36">
        <f>Support_Data!P47</f>
        <v>1944.6</v>
      </c>
      <c r="BG67" s="36">
        <f>Support_Data!Q47</f>
        <v>1252.26</v>
      </c>
      <c r="BH67" s="36">
        <f>Support_Data!R47</f>
        <v>1716.13</v>
      </c>
      <c r="BX67"/>
    </row>
    <row r="68" spans="1:76" ht="14.55" customHeight="1">
      <c r="X68" s="21"/>
      <c r="AR68" s="30" t="s">
        <v>6</v>
      </c>
      <c r="AS68" s="30" t="s">
        <v>136</v>
      </c>
      <c r="AT68" s="57">
        <f>Support_Data!D48</f>
        <v>632.1</v>
      </c>
      <c r="AU68" s="57">
        <f>Support_Data!E48</f>
        <v>623.95000000000005</v>
      </c>
      <c r="AV68" s="57">
        <f>Support_Data!F48</f>
        <v>507</v>
      </c>
      <c r="AW68" s="57">
        <f>Support_Data!G48</f>
        <v>491</v>
      </c>
      <c r="AX68" s="57">
        <f>Support_Data!H48</f>
        <v>622.25</v>
      </c>
      <c r="AY68" s="57">
        <f>Support_Data!I48</f>
        <v>329.75</v>
      </c>
      <c r="BA68" s="15" t="s">
        <v>6</v>
      </c>
      <c r="BB68" s="15" t="s">
        <v>136</v>
      </c>
      <c r="BC68" s="36">
        <f>Support_Data!M48</f>
        <v>284.55</v>
      </c>
      <c r="BD68" s="36">
        <f>Support_Data!N48</f>
        <v>277.2</v>
      </c>
      <c r="BE68" s="36">
        <f>Support_Data!O48</f>
        <v>317</v>
      </c>
      <c r="BF68" s="36">
        <f>Support_Data!P48</f>
        <v>179</v>
      </c>
      <c r="BG68" s="36">
        <f>Support_Data!Q48</f>
        <v>305</v>
      </c>
      <c r="BH68" s="36">
        <f>Support_Data!R48</f>
        <v>329.75</v>
      </c>
      <c r="BX68"/>
    </row>
    <row r="69" spans="1:76" ht="14.55" customHeight="1">
      <c r="X69" s="21"/>
      <c r="AR69" s="30" t="s">
        <v>7</v>
      </c>
      <c r="AS69" s="30" t="s">
        <v>137</v>
      </c>
      <c r="AT69" s="57">
        <f>Support_Data!D49</f>
        <v>882.3</v>
      </c>
      <c r="AU69" s="57">
        <f>Support_Data!E49</f>
        <v>888.08</v>
      </c>
      <c r="AV69" s="57">
        <f>Support_Data!F49</f>
        <v>404.95000000000005</v>
      </c>
      <c r="AW69" s="57">
        <f>Support_Data!G49</f>
        <v>606.5</v>
      </c>
      <c r="AX69" s="57">
        <f>Support_Data!H49</f>
        <v>1295.1500000000001</v>
      </c>
      <c r="AY69" s="57">
        <f>Support_Data!I49</f>
        <v>288.45</v>
      </c>
      <c r="BA69" s="15" t="s">
        <v>7</v>
      </c>
      <c r="BB69" s="15" t="s">
        <v>137</v>
      </c>
      <c r="BC69" s="36">
        <f>Support_Data!M49</f>
        <v>325.89999999999998</v>
      </c>
      <c r="BD69" s="36">
        <f>Support_Data!N49</f>
        <v>400.08</v>
      </c>
      <c r="BE69" s="36">
        <f>Support_Data!O49</f>
        <v>291.91999999999996</v>
      </c>
      <c r="BF69" s="36">
        <f>Support_Data!P49</f>
        <v>41.5</v>
      </c>
      <c r="BG69" s="36">
        <f>Support_Data!Q49</f>
        <v>719.15</v>
      </c>
      <c r="BH69" s="36">
        <f>Support_Data!R49</f>
        <v>288.45</v>
      </c>
      <c r="BX69"/>
    </row>
    <row r="70" spans="1:76" ht="14.55" customHeight="1">
      <c r="X70" s="21"/>
      <c r="AR70" s="30" t="s">
        <v>8</v>
      </c>
      <c r="AS70" s="30" t="s">
        <v>138</v>
      </c>
      <c r="AT70" s="57">
        <f>Support_Data!D50</f>
        <v>5022.08</v>
      </c>
      <c r="AU70" s="57">
        <f>Support_Data!E50</f>
        <v>7210.5599999999995</v>
      </c>
      <c r="AV70" s="57">
        <f>Support_Data!F50</f>
        <v>3785.8600000000015</v>
      </c>
      <c r="AW70" s="57">
        <f>Support_Data!G50</f>
        <v>1828.4400000000003</v>
      </c>
      <c r="AX70" s="57">
        <f>Support_Data!H50</f>
        <v>3259.7000000000016</v>
      </c>
      <c r="AY70" s="57">
        <f>Support_Data!I50</f>
        <v>1248.9699999999998</v>
      </c>
      <c r="BA70" s="15" t="s">
        <v>8</v>
      </c>
      <c r="BB70" s="15" t="s">
        <v>138</v>
      </c>
      <c r="BC70" s="36">
        <f>Support_Data!M50</f>
        <v>1668.5</v>
      </c>
      <c r="BD70" s="36">
        <f>Support_Data!N50</f>
        <v>3533.8799999999992</v>
      </c>
      <c r="BE70" s="36">
        <f>Support_Data!O50</f>
        <v>1872.3000000000002</v>
      </c>
      <c r="BF70" s="36">
        <f>Support_Data!P50</f>
        <v>993.34999999999991</v>
      </c>
      <c r="BG70" s="36">
        <f>Support_Data!Q50</f>
        <v>1675.3200000000002</v>
      </c>
      <c r="BH70" s="36">
        <f>Support_Data!R50</f>
        <v>1248.9699999999998</v>
      </c>
      <c r="BX70"/>
    </row>
    <row r="71" spans="1:76" ht="14.55" customHeight="1">
      <c r="X71" s="21"/>
      <c r="AR71" s="30" t="s">
        <v>9</v>
      </c>
      <c r="AS71" s="30" t="s">
        <v>139</v>
      </c>
      <c r="AT71" s="57">
        <f>Support_Data!D51</f>
        <v>1505.35</v>
      </c>
      <c r="AU71" s="57">
        <f>Support_Data!E51</f>
        <v>1296.75</v>
      </c>
      <c r="AV71" s="57">
        <f>Support_Data!F51</f>
        <v>1224.3</v>
      </c>
      <c r="AW71" s="57">
        <f>Support_Data!G51</f>
        <v>1550.31</v>
      </c>
      <c r="AX71" s="57">
        <f>Support_Data!H51</f>
        <v>2483.8000000000002</v>
      </c>
      <c r="AY71" s="57">
        <f>Support_Data!I51</f>
        <v>630.08000000000004</v>
      </c>
      <c r="BA71" s="15" t="s">
        <v>9</v>
      </c>
      <c r="BB71" s="15" t="s">
        <v>139</v>
      </c>
      <c r="BC71" s="36">
        <f>Support_Data!M51</f>
        <v>622.4</v>
      </c>
      <c r="BD71" s="36">
        <f>Support_Data!N51</f>
        <v>666.7</v>
      </c>
      <c r="BE71" s="36">
        <f>Support_Data!O51</f>
        <v>658.45</v>
      </c>
      <c r="BF71" s="36">
        <f>Support_Data!P51</f>
        <v>589.92999999999995</v>
      </c>
      <c r="BG71" s="36">
        <f>Support_Data!Q51</f>
        <v>1260.6499999999999</v>
      </c>
      <c r="BH71" s="36">
        <f>Support_Data!R51</f>
        <v>630.08000000000004</v>
      </c>
      <c r="BX71"/>
    </row>
    <row r="72" spans="1:76" ht="14.55" customHeight="1">
      <c r="X72" s="21"/>
      <c r="AR72" s="30" t="s">
        <v>10</v>
      </c>
      <c r="AS72" s="30" t="s">
        <v>140</v>
      </c>
      <c r="AT72" s="57">
        <f>Support_Data!D52</f>
        <v>3546.79</v>
      </c>
      <c r="AU72" s="57">
        <f>Support_Data!E52</f>
        <v>4030.9</v>
      </c>
      <c r="AV72" s="57">
        <f>Support_Data!F52</f>
        <v>3306.87</v>
      </c>
      <c r="AW72" s="57">
        <f>Support_Data!G52</f>
        <v>3279.94</v>
      </c>
      <c r="AX72" s="57">
        <f>Support_Data!H52</f>
        <v>2961.43</v>
      </c>
      <c r="AY72" s="57">
        <f>Support_Data!I52</f>
        <v>1295.92</v>
      </c>
      <c r="BA72" s="15" t="s">
        <v>10</v>
      </c>
      <c r="BB72" s="15" t="s">
        <v>140</v>
      </c>
      <c r="BC72" s="36">
        <f>Support_Data!M52</f>
        <v>1434.55</v>
      </c>
      <c r="BD72" s="36">
        <f>Support_Data!N52</f>
        <v>1736.35</v>
      </c>
      <c r="BE72" s="36">
        <f>Support_Data!O52</f>
        <v>1580.72</v>
      </c>
      <c r="BF72" s="36">
        <f>Support_Data!P52</f>
        <v>1443.75</v>
      </c>
      <c r="BG72" s="36">
        <f>Support_Data!Q52</f>
        <v>1346.83</v>
      </c>
      <c r="BH72" s="36">
        <f>Support_Data!R52</f>
        <v>1295.92</v>
      </c>
      <c r="BX72"/>
    </row>
    <row r="73" spans="1:76" ht="14.55" customHeight="1">
      <c r="X73" s="21"/>
      <c r="AR73" s="30" t="s">
        <v>11</v>
      </c>
      <c r="AS73" s="30" t="s">
        <v>141</v>
      </c>
      <c r="AT73" s="57">
        <f>Support_Data!D53</f>
        <v>5817.8899999999994</v>
      </c>
      <c r="AU73" s="57">
        <f>Support_Data!E53</f>
        <v>4364.6900000000005</v>
      </c>
      <c r="AV73" s="57">
        <f>Support_Data!F53</f>
        <v>5806.07</v>
      </c>
      <c r="AW73" s="57">
        <f>Support_Data!G53</f>
        <v>6814.85</v>
      </c>
      <c r="AX73" s="57">
        <f>Support_Data!H53</f>
        <v>6893.68</v>
      </c>
      <c r="AY73" s="57">
        <f>Support_Data!I53</f>
        <v>2507.1999999999998</v>
      </c>
      <c r="BA73" s="15" t="s">
        <v>11</v>
      </c>
      <c r="BB73" s="15" t="s">
        <v>141</v>
      </c>
      <c r="BC73" s="36">
        <f>Support_Data!M53</f>
        <v>2664.6299999999997</v>
      </c>
      <c r="BD73" s="36">
        <f>Support_Data!N53</f>
        <v>2308.6499999999996</v>
      </c>
      <c r="BE73" s="36">
        <f>Support_Data!O53</f>
        <v>2984.02</v>
      </c>
      <c r="BF73" s="36">
        <f>Support_Data!P53</f>
        <v>3560.8</v>
      </c>
      <c r="BG73" s="36">
        <f>Support_Data!Q53</f>
        <v>2449.4</v>
      </c>
      <c r="BH73" s="36">
        <f>Support_Data!R53</f>
        <v>2507.1999999999998</v>
      </c>
      <c r="BX73"/>
    </row>
    <row r="74" spans="1:76" ht="14.55" customHeight="1">
      <c r="X74" s="21"/>
      <c r="AR74" s="30" t="s">
        <v>12</v>
      </c>
      <c r="AS74" s="30" t="s">
        <v>142</v>
      </c>
      <c r="AT74" s="57">
        <f>Support_Data!D54</f>
        <v>3545.7100000000005</v>
      </c>
      <c r="AU74" s="57">
        <f>Support_Data!E54</f>
        <v>3506.31</v>
      </c>
      <c r="AV74" s="57">
        <f>Support_Data!F54</f>
        <v>3248.58</v>
      </c>
      <c r="AW74" s="57">
        <f>Support_Data!G54</f>
        <v>3892.35</v>
      </c>
      <c r="AX74" s="57">
        <f>Support_Data!H54</f>
        <v>4274.54</v>
      </c>
      <c r="AY74" s="57">
        <f>Support_Data!I54</f>
        <v>1679.99</v>
      </c>
      <c r="BA74" s="15" t="s">
        <v>12</v>
      </c>
      <c r="BB74" s="15" t="s">
        <v>142</v>
      </c>
      <c r="BC74" s="36">
        <f>Support_Data!M54</f>
        <v>1765.42</v>
      </c>
      <c r="BD74" s="36">
        <f>Support_Data!N54</f>
        <v>1916.7</v>
      </c>
      <c r="BE74" s="36">
        <f>Support_Data!O54</f>
        <v>1545.75</v>
      </c>
      <c r="BF74" s="36">
        <f>Support_Data!P54</f>
        <v>1874.5</v>
      </c>
      <c r="BG74" s="36">
        <f>Support_Data!Q54</f>
        <v>2377.69</v>
      </c>
      <c r="BH74" s="36">
        <f>Support_Data!R54</f>
        <v>1679.99</v>
      </c>
      <c r="BX74"/>
    </row>
    <row r="75" spans="1:76" ht="14.25" customHeight="1">
      <c r="X75" s="21"/>
      <c r="AR75" s="30" t="s">
        <v>13</v>
      </c>
      <c r="AS75" s="30" t="s">
        <v>143</v>
      </c>
      <c r="AT75" s="57">
        <f>Support_Data!D55</f>
        <v>3117.6</v>
      </c>
      <c r="AU75" s="57">
        <f>Support_Data!E55</f>
        <v>4906.1000000000004</v>
      </c>
      <c r="AV75" s="57">
        <f>Support_Data!F55</f>
        <v>3694</v>
      </c>
      <c r="AW75" s="57">
        <f>Support_Data!G55</f>
        <v>5159.16</v>
      </c>
      <c r="AX75" s="57">
        <f>Support_Data!H55</f>
        <v>3904</v>
      </c>
      <c r="AY75" s="57">
        <f>Support_Data!I55</f>
        <v>1835.75</v>
      </c>
      <c r="BA75" s="15" t="s">
        <v>13</v>
      </c>
      <c r="BB75" s="15" t="s">
        <v>143</v>
      </c>
      <c r="BC75" s="36">
        <f>Support_Data!M55</f>
        <v>1496.75</v>
      </c>
      <c r="BD75" s="36">
        <f>Support_Data!N55</f>
        <v>1788.55</v>
      </c>
      <c r="BE75" s="36">
        <f>Support_Data!O55</f>
        <v>2140.0500000000002</v>
      </c>
      <c r="BF75" s="36">
        <f>Support_Data!P55</f>
        <v>2910.16</v>
      </c>
      <c r="BG75" s="36">
        <f>Support_Data!Q55</f>
        <v>2246.5</v>
      </c>
      <c r="BH75" s="36">
        <f>Support_Data!R55</f>
        <v>1835.75</v>
      </c>
      <c r="BX75"/>
    </row>
    <row r="76" spans="1:76" ht="14.55" customHeight="1">
      <c r="X76" s="21"/>
      <c r="Y76" s="16"/>
      <c r="AR76" s="30" t="s">
        <v>14</v>
      </c>
      <c r="AS76" s="30" t="s">
        <v>144</v>
      </c>
      <c r="AT76" s="57">
        <f>Support_Data!D56</f>
        <v>790.75</v>
      </c>
      <c r="AU76" s="57">
        <f>Support_Data!E56</f>
        <v>825.25</v>
      </c>
      <c r="AV76" s="57">
        <f>Support_Data!F56</f>
        <v>1237.56</v>
      </c>
      <c r="AW76" s="57">
        <f>Support_Data!G56</f>
        <v>2386.29</v>
      </c>
      <c r="AX76" s="57">
        <f>Support_Data!H56</f>
        <v>1247.25</v>
      </c>
      <c r="AY76" s="57">
        <f>Support_Data!I56</f>
        <v>469.75</v>
      </c>
      <c r="BA76" s="15" t="s">
        <v>14</v>
      </c>
      <c r="BB76" s="15" t="s">
        <v>144</v>
      </c>
      <c r="BC76" s="36">
        <f>Support_Data!M56</f>
        <v>390.25</v>
      </c>
      <c r="BD76" s="36">
        <f>Support_Data!N56</f>
        <v>360.25</v>
      </c>
      <c r="BE76" s="36">
        <f>Support_Data!O56</f>
        <v>411.5</v>
      </c>
      <c r="BF76" s="36">
        <f>Support_Data!P56</f>
        <v>1233.46</v>
      </c>
      <c r="BG76" s="36">
        <f>Support_Data!Q56</f>
        <v>652.5</v>
      </c>
      <c r="BH76" s="36">
        <f>Support_Data!R56</f>
        <v>469.75</v>
      </c>
      <c r="BX76"/>
    </row>
    <row r="77" spans="1:76" ht="19.2" customHeight="1">
      <c r="X77" s="21"/>
      <c r="Y77" s="16"/>
      <c r="AR77" s="30" t="s">
        <v>15</v>
      </c>
      <c r="AS77" s="30" t="s">
        <v>145</v>
      </c>
      <c r="AT77" s="57">
        <f>Support_Data!D57</f>
        <v>671.45</v>
      </c>
      <c r="AU77" s="57">
        <f>Support_Data!E57</f>
        <v>394</v>
      </c>
      <c r="AV77" s="57">
        <f>Support_Data!F57</f>
        <v>58.75</v>
      </c>
      <c r="AW77" s="57">
        <f>Support_Data!G57</f>
        <v>2.5</v>
      </c>
      <c r="AX77" s="57">
        <f>Support_Data!H57</f>
        <v>427.75</v>
      </c>
      <c r="AY77" s="57">
        <f>Support_Data!I57</f>
        <v>24</v>
      </c>
      <c r="BA77" s="15" t="s">
        <v>15</v>
      </c>
      <c r="BB77" s="15" t="s">
        <v>145</v>
      </c>
      <c r="BC77" s="36">
        <f>Support_Data!M57</f>
        <v>438.45</v>
      </c>
      <c r="BD77" s="36">
        <f>Support_Data!N57</f>
        <v>237</v>
      </c>
      <c r="BE77" s="36">
        <f>Support_Data!O57</f>
        <v>32.75</v>
      </c>
      <c r="BF77" s="36">
        <f>Support_Data!P57</f>
        <v>2.5</v>
      </c>
      <c r="BG77" s="36">
        <f>Support_Data!Q57</f>
        <v>256.5</v>
      </c>
      <c r="BH77" s="36">
        <f>Support_Data!R57</f>
        <v>24</v>
      </c>
      <c r="BX77"/>
    </row>
    <row r="78" spans="1:76" s="10" customFormat="1" ht="14.5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21"/>
      <c r="Y78" s="16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 s="4"/>
      <c r="AR78" s="30" t="s">
        <v>27</v>
      </c>
      <c r="AS78" s="30" t="s">
        <v>29</v>
      </c>
      <c r="AT78" s="57">
        <f>Support_Data!D58</f>
        <v>72692.350000000006</v>
      </c>
      <c r="AU78" s="57">
        <f>Support_Data!E58</f>
        <v>78590.81</v>
      </c>
      <c r="AV78" s="57">
        <f>Support_Data!F58</f>
        <v>73487.48</v>
      </c>
      <c r="AW78" s="57">
        <f>Support_Data!G58</f>
        <v>77509.23000000001</v>
      </c>
      <c r="AX78" s="57">
        <f>Support_Data!H58</f>
        <v>81855.490000000005</v>
      </c>
      <c r="AY78" s="57">
        <f>Support_Data!I58</f>
        <v>31905.19000000001</v>
      </c>
      <c r="AZ78"/>
      <c r="BA78" s="15" t="s">
        <v>27</v>
      </c>
      <c r="BB78" s="14" t="s">
        <v>29</v>
      </c>
      <c r="BC78" s="36">
        <f>Support_Data!M58</f>
        <v>34192.820000000007</v>
      </c>
      <c r="BD78" s="36">
        <f>Support_Data!N58</f>
        <v>37702.160000000003</v>
      </c>
      <c r="BE78" s="36">
        <f>Support_Data!O58</f>
        <v>36796.089999999997</v>
      </c>
      <c r="BF78" s="36">
        <f>Support_Data!P58</f>
        <v>38813.21</v>
      </c>
      <c r="BG78" s="36">
        <f>Support_Data!Q58</f>
        <v>41483.030000000006</v>
      </c>
      <c r="BH78" s="36">
        <f>Support_Data!R58</f>
        <v>31905.19000000001</v>
      </c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X78"/>
    </row>
    <row r="79" spans="1:76" ht="14.55" customHeight="1">
      <c r="X79" s="21"/>
      <c r="Y79" s="16"/>
      <c r="AR79"/>
      <c r="BX79"/>
    </row>
    <row r="80" spans="1:76" ht="14.55" customHeight="1">
      <c r="X80" s="21"/>
      <c r="Y80" s="16"/>
      <c r="AR80"/>
      <c r="BX80"/>
    </row>
    <row r="81" spans="24:76" ht="14.55" customHeight="1">
      <c r="X81" s="21"/>
      <c r="Y81" s="16"/>
      <c r="AR81" s="30" t="s">
        <v>21</v>
      </c>
      <c r="AS81" s="30" t="s">
        <v>20</v>
      </c>
      <c r="AT81" s="30" t="s">
        <v>30</v>
      </c>
      <c r="AU81" s="30" t="s">
        <v>22</v>
      </c>
      <c r="AV81" s="30" t="s">
        <v>39</v>
      </c>
      <c r="AW81" s="30" t="s">
        <v>40</v>
      </c>
      <c r="AX81" s="30" t="s">
        <v>41</v>
      </c>
      <c r="AY81" s="30" t="s">
        <v>42</v>
      </c>
      <c r="AZ81" s="17"/>
      <c r="BA81" s="12" t="s">
        <v>21</v>
      </c>
      <c r="BB81" s="12" t="s">
        <v>20</v>
      </c>
      <c r="BC81" s="12" t="s">
        <v>30</v>
      </c>
      <c r="BD81" s="12" t="s">
        <v>22</v>
      </c>
      <c r="BE81" s="12" t="s">
        <v>39</v>
      </c>
      <c r="BF81" s="12" t="s">
        <v>40</v>
      </c>
      <c r="BG81" s="12" t="s">
        <v>41</v>
      </c>
      <c r="BH81" s="12" t="s">
        <v>42</v>
      </c>
      <c r="BX81"/>
    </row>
    <row r="82" spans="24:76" ht="14.55" customHeight="1">
      <c r="X82" s="21"/>
      <c r="Y82" s="16"/>
      <c r="AR82" s="30" t="s">
        <v>0</v>
      </c>
      <c r="AS82" s="30" t="s">
        <v>131</v>
      </c>
      <c r="AT82" s="57">
        <f>Support_Data!D62</f>
        <v>2100.2000000000003</v>
      </c>
      <c r="AU82" s="57">
        <f>Support_Data!E62</f>
        <v>1893.7</v>
      </c>
      <c r="AV82" s="57">
        <f>Support_Data!F62</f>
        <v>2218.0499999999997</v>
      </c>
      <c r="AW82" s="57">
        <f>Support_Data!G62</f>
        <v>2423.58</v>
      </c>
      <c r="AX82" s="57">
        <f>Support_Data!H62</f>
        <v>1742.6</v>
      </c>
      <c r="AY82" s="57">
        <f>Support_Data!I62</f>
        <v>495.2</v>
      </c>
      <c r="BA82" s="15" t="s">
        <v>0</v>
      </c>
      <c r="BB82" s="15" t="s">
        <v>131</v>
      </c>
      <c r="BC82" s="36">
        <f>Support_Data!M62</f>
        <v>1137.6500000000001</v>
      </c>
      <c r="BD82" s="36">
        <f>Support_Data!N62</f>
        <v>753.3</v>
      </c>
      <c r="BE82" s="36">
        <f>Support_Data!O62</f>
        <v>1101.75</v>
      </c>
      <c r="BF82" s="36">
        <f>Support_Data!P62</f>
        <v>1266.58</v>
      </c>
      <c r="BG82" s="36">
        <f>Support_Data!Q62</f>
        <v>1006.05</v>
      </c>
      <c r="BH82" s="36">
        <f>Support_Data!R62</f>
        <v>495.2</v>
      </c>
      <c r="BX82"/>
    </row>
    <row r="83" spans="24:76" ht="14.55" customHeight="1">
      <c r="X83" s="21"/>
      <c r="Y83" s="16"/>
      <c r="AR83" s="30" t="s">
        <v>1</v>
      </c>
      <c r="AS83" s="30" t="s">
        <v>130</v>
      </c>
      <c r="AT83" s="57">
        <f>Support_Data!D63</f>
        <v>1344.5</v>
      </c>
      <c r="AU83" s="57">
        <f>Support_Data!E63</f>
        <v>2798.170000000001</v>
      </c>
      <c r="AV83" s="57">
        <f>Support_Data!F63</f>
        <v>4606.3599999999997</v>
      </c>
      <c r="AW83" s="57">
        <f>Support_Data!G63</f>
        <v>4701.7700000000004</v>
      </c>
      <c r="AX83" s="57">
        <f>Support_Data!H63</f>
        <v>4083.41</v>
      </c>
      <c r="AY83" s="57">
        <f>Support_Data!I63</f>
        <v>1081.45</v>
      </c>
      <c r="BA83" s="15" t="s">
        <v>1</v>
      </c>
      <c r="BB83" s="15" t="s">
        <v>130</v>
      </c>
      <c r="BC83" s="36">
        <f>Support_Data!M63</f>
        <v>860.25</v>
      </c>
      <c r="BD83" s="36">
        <f>Support_Data!N63</f>
        <v>1212.8699999999999</v>
      </c>
      <c r="BE83" s="36">
        <f>Support_Data!O63</f>
        <v>2343.25</v>
      </c>
      <c r="BF83" s="36">
        <f>Support_Data!P63</f>
        <v>1990.67</v>
      </c>
      <c r="BG83" s="36">
        <f>Support_Data!Q63</f>
        <v>1930.0900000000001</v>
      </c>
      <c r="BH83" s="36">
        <f>Support_Data!R63</f>
        <v>1081.45</v>
      </c>
      <c r="BX83"/>
    </row>
    <row r="84" spans="24:76" ht="14.55" customHeight="1">
      <c r="X84" s="21"/>
      <c r="Y84" s="16"/>
      <c r="AR84" s="30" t="s">
        <v>2</v>
      </c>
      <c r="AS84" s="30" t="s">
        <v>132</v>
      </c>
      <c r="AT84" s="57">
        <f>Support_Data!D64</f>
        <v>2903.42</v>
      </c>
      <c r="AU84" s="57">
        <f>Support_Data!E64</f>
        <v>2926.75</v>
      </c>
      <c r="AV84" s="57">
        <f>Support_Data!F64</f>
        <v>1373.75</v>
      </c>
      <c r="AW84" s="57">
        <f>Support_Data!G64</f>
        <v>446.45</v>
      </c>
      <c r="AX84" s="57">
        <f>Support_Data!H64</f>
        <v>590.25</v>
      </c>
      <c r="AY84" s="57">
        <f>Support_Data!I64</f>
        <v>573.75</v>
      </c>
      <c r="BA84" s="15" t="s">
        <v>2</v>
      </c>
      <c r="BB84" s="15" t="s">
        <v>132</v>
      </c>
      <c r="BC84" s="36">
        <f>Support_Data!M64</f>
        <v>1277.82</v>
      </c>
      <c r="BD84" s="36">
        <f>Support_Data!N64</f>
        <v>1868.75</v>
      </c>
      <c r="BE84" s="36">
        <f>Support_Data!O64</f>
        <v>738</v>
      </c>
      <c r="BF84" s="36">
        <f>Support_Data!P64</f>
        <v>323</v>
      </c>
      <c r="BG84" s="36">
        <f>Support_Data!Q64</f>
        <v>293</v>
      </c>
      <c r="BH84" s="36">
        <f>Support_Data!R64</f>
        <v>573.75</v>
      </c>
      <c r="BX84"/>
    </row>
    <row r="85" spans="24:76" ht="14.55" customHeight="1">
      <c r="X85" s="21"/>
      <c r="Y85" s="16"/>
      <c r="AR85" s="30" t="s">
        <v>3</v>
      </c>
      <c r="AS85" s="30" t="s">
        <v>133</v>
      </c>
      <c r="AT85" s="57">
        <f>Support_Data!D65</f>
        <v>1430.9</v>
      </c>
      <c r="AU85" s="57">
        <f>Support_Data!E65</f>
        <v>1993.4</v>
      </c>
      <c r="AV85" s="57">
        <f>Support_Data!F65</f>
        <v>2148.6499999999996</v>
      </c>
      <c r="AW85" s="57">
        <f>Support_Data!G65</f>
        <v>2001.5500000000002</v>
      </c>
      <c r="AX85" s="57">
        <f>Support_Data!H65</f>
        <v>1828.08</v>
      </c>
      <c r="AY85" s="57">
        <f>Support_Data!I65</f>
        <v>706.62</v>
      </c>
      <c r="BA85" s="15" t="s">
        <v>3</v>
      </c>
      <c r="BB85" s="15" t="s">
        <v>133</v>
      </c>
      <c r="BC85" s="36">
        <f>Support_Data!M65</f>
        <v>694.1</v>
      </c>
      <c r="BD85" s="36">
        <f>Support_Data!N65</f>
        <v>1086.45</v>
      </c>
      <c r="BE85" s="36">
        <f>Support_Data!O65</f>
        <v>1180</v>
      </c>
      <c r="BF85" s="36">
        <f>Support_Data!P65</f>
        <v>985.7</v>
      </c>
      <c r="BG85" s="36">
        <f>Support_Data!Q65</f>
        <v>1149.08</v>
      </c>
      <c r="BH85" s="36">
        <f>Support_Data!R65</f>
        <v>706.62</v>
      </c>
      <c r="BX85"/>
    </row>
    <row r="86" spans="24:76" ht="14.55" customHeight="1">
      <c r="X86" s="21"/>
      <c r="Y86" s="16"/>
      <c r="AR86" s="30" t="s">
        <v>4</v>
      </c>
      <c r="AS86" s="30" t="s">
        <v>134</v>
      </c>
      <c r="AT86" s="57">
        <f>Support_Data!D66</f>
        <v>4966.4900000000007</v>
      </c>
      <c r="AU86" s="57">
        <f>Support_Data!E66</f>
        <v>3785.32</v>
      </c>
      <c r="AV86" s="57">
        <f>Support_Data!F66</f>
        <v>3901.9</v>
      </c>
      <c r="AW86" s="57">
        <f>Support_Data!G66</f>
        <v>4149.55</v>
      </c>
      <c r="AX86" s="57">
        <f>Support_Data!H66</f>
        <v>4553.8</v>
      </c>
      <c r="AY86" s="57">
        <f>Support_Data!I66</f>
        <v>848.05</v>
      </c>
      <c r="BA86" s="15" t="s">
        <v>4</v>
      </c>
      <c r="BB86" s="15" t="s">
        <v>134</v>
      </c>
      <c r="BC86" s="36">
        <f>Support_Data!M66</f>
        <v>2311.4700000000003</v>
      </c>
      <c r="BD86" s="36">
        <f>Support_Data!N66</f>
        <v>2178.35</v>
      </c>
      <c r="BE86" s="36">
        <f>Support_Data!O66</f>
        <v>1618.6</v>
      </c>
      <c r="BF86" s="36">
        <f>Support_Data!P66</f>
        <v>2728.8</v>
      </c>
      <c r="BG86" s="36">
        <f>Support_Data!Q66</f>
        <v>2667.75</v>
      </c>
      <c r="BH86" s="36">
        <f>Support_Data!R66</f>
        <v>848.05</v>
      </c>
      <c r="BX86"/>
    </row>
    <row r="87" spans="24:76" ht="14.55" customHeight="1">
      <c r="X87" s="21"/>
      <c r="Y87" s="16"/>
      <c r="AR87" s="30" t="s">
        <v>5</v>
      </c>
      <c r="AS87" s="30" t="s">
        <v>135</v>
      </c>
      <c r="AT87" s="57">
        <f>Support_Data!D67</f>
        <v>449.5</v>
      </c>
      <c r="AU87" s="57">
        <f>Support_Data!E67</f>
        <v>795</v>
      </c>
      <c r="AV87" s="57">
        <f>Support_Data!F67</f>
        <v>704.43000000000006</v>
      </c>
      <c r="AW87" s="57">
        <f>Support_Data!G67</f>
        <v>386.75</v>
      </c>
      <c r="AX87" s="57">
        <f>Support_Data!H67</f>
        <v>791.13</v>
      </c>
      <c r="AY87" s="57">
        <f>Support_Data!I67</f>
        <v>201.94</v>
      </c>
      <c r="BA87" s="15" t="s">
        <v>5</v>
      </c>
      <c r="BB87" s="15" t="s">
        <v>135</v>
      </c>
      <c r="BC87" s="36">
        <f>Support_Data!M67</f>
        <v>258</v>
      </c>
      <c r="BD87" s="36">
        <f>Support_Data!N67</f>
        <v>322.5</v>
      </c>
      <c r="BE87" s="36">
        <f>Support_Data!O67</f>
        <v>203</v>
      </c>
      <c r="BF87" s="36">
        <f>Support_Data!P67</f>
        <v>143.07999999999998</v>
      </c>
      <c r="BG87" s="36">
        <f>Support_Data!Q67</f>
        <v>275.38</v>
      </c>
      <c r="BH87" s="36">
        <f>Support_Data!R67</f>
        <v>201.94</v>
      </c>
      <c r="BX87"/>
    </row>
    <row r="88" spans="24:76" ht="14.55" customHeight="1">
      <c r="X88" s="21"/>
      <c r="Y88" s="16"/>
      <c r="AR88" s="30" t="s">
        <v>6</v>
      </c>
      <c r="AS88" s="30" t="s">
        <v>136</v>
      </c>
      <c r="AT88" s="57">
        <f>Support_Data!D68</f>
        <v>1786.9</v>
      </c>
      <c r="AU88" s="57">
        <f>Support_Data!E68</f>
        <v>1737.33</v>
      </c>
      <c r="AV88" s="57">
        <f>Support_Data!F68</f>
        <v>1170.95</v>
      </c>
      <c r="AW88" s="57">
        <f>Support_Data!G68</f>
        <v>1104.28</v>
      </c>
      <c r="AX88" s="57">
        <f>Support_Data!H68</f>
        <v>1245.5</v>
      </c>
      <c r="AY88" s="57">
        <f>Support_Data!I68</f>
        <v>598.5</v>
      </c>
      <c r="BA88" s="15" t="s">
        <v>6</v>
      </c>
      <c r="BB88" s="15" t="s">
        <v>136</v>
      </c>
      <c r="BC88" s="36">
        <f>Support_Data!M68</f>
        <v>930.45</v>
      </c>
      <c r="BD88" s="36">
        <f>Support_Data!N68</f>
        <v>880.83</v>
      </c>
      <c r="BE88" s="36">
        <f>Support_Data!O68</f>
        <v>658.75</v>
      </c>
      <c r="BF88" s="36">
        <f>Support_Data!P68</f>
        <v>597.9</v>
      </c>
      <c r="BG88" s="36">
        <f>Support_Data!Q68</f>
        <v>672.25</v>
      </c>
      <c r="BH88" s="36">
        <f>Support_Data!R68</f>
        <v>598.5</v>
      </c>
      <c r="BX88"/>
    </row>
    <row r="89" spans="24:76" ht="14.55" customHeight="1">
      <c r="X89" s="21"/>
      <c r="Y89" s="16"/>
      <c r="AR89" s="30" t="s">
        <v>7</v>
      </c>
      <c r="AS89" s="30" t="s">
        <v>137</v>
      </c>
      <c r="AT89" s="57">
        <f>Support_Data!D69</f>
        <v>43</v>
      </c>
      <c r="AU89" s="57">
        <f>Support_Data!E69</f>
        <v>4</v>
      </c>
      <c r="AV89" s="57">
        <f>Support_Data!F69</f>
        <v>268.8</v>
      </c>
      <c r="AW89" s="57">
        <f>Support_Data!G69</f>
        <v>78.5</v>
      </c>
      <c r="AX89" s="57">
        <f>Support_Data!H69</f>
        <v>53</v>
      </c>
      <c r="AY89" s="57">
        <f>Support_Data!I69</f>
        <v>16</v>
      </c>
      <c r="BA89" s="15" t="s">
        <v>7</v>
      </c>
      <c r="BB89" s="15" t="s">
        <v>137</v>
      </c>
      <c r="BC89" s="36">
        <f>Support_Data!M69</f>
        <v>43</v>
      </c>
      <c r="BD89" s="36">
        <f>Support_Data!N69</f>
        <v>0</v>
      </c>
      <c r="BE89" s="36">
        <f>Support_Data!O69</f>
        <v>227.5</v>
      </c>
      <c r="BF89" s="36">
        <f>Support_Data!P69</f>
        <v>78.5</v>
      </c>
      <c r="BG89" s="36">
        <f>Support_Data!Q69</f>
        <v>18</v>
      </c>
      <c r="BH89" s="36">
        <f>Support_Data!R69</f>
        <v>16</v>
      </c>
      <c r="BX89"/>
    </row>
    <row r="90" spans="24:76" ht="14.55" customHeight="1">
      <c r="X90" s="21"/>
      <c r="Y90" s="16"/>
      <c r="AR90" s="30" t="s">
        <v>8</v>
      </c>
      <c r="AS90" s="30" t="s">
        <v>138</v>
      </c>
      <c r="AT90" s="57">
        <f>Support_Data!D70</f>
        <v>2</v>
      </c>
      <c r="AU90" s="57">
        <f>Support_Data!E70</f>
        <v>340</v>
      </c>
      <c r="AV90" s="57">
        <f>Support_Data!F70</f>
        <v>352.15999999999997</v>
      </c>
      <c r="AW90" s="57">
        <f>Support_Data!G70</f>
        <v>420.08</v>
      </c>
      <c r="AX90" s="57">
        <f>Support_Data!H70</f>
        <v>266.25</v>
      </c>
      <c r="AY90" s="57">
        <f>Support_Data!I70</f>
        <v>47.2</v>
      </c>
      <c r="BA90" s="15" t="s">
        <v>8</v>
      </c>
      <c r="BB90" s="15" t="s">
        <v>138</v>
      </c>
      <c r="BC90" s="36">
        <f>Support_Data!M70</f>
        <v>2</v>
      </c>
      <c r="BD90" s="36">
        <f>Support_Data!N70</f>
        <v>256.75</v>
      </c>
      <c r="BE90" s="36">
        <f>Support_Data!O70</f>
        <v>151.16</v>
      </c>
      <c r="BF90" s="36">
        <f>Support_Data!P70</f>
        <v>221.83</v>
      </c>
      <c r="BG90" s="36">
        <f>Support_Data!Q70</f>
        <v>94.25</v>
      </c>
      <c r="BH90" s="36">
        <f>Support_Data!R70</f>
        <v>47.2</v>
      </c>
      <c r="BX90"/>
    </row>
    <row r="91" spans="24:76" ht="14.55" customHeight="1">
      <c r="X91" s="21"/>
      <c r="Y91" s="16"/>
      <c r="AR91" s="30" t="s">
        <v>9</v>
      </c>
      <c r="AS91" s="30" t="s">
        <v>139</v>
      </c>
      <c r="AT91" s="57">
        <f>Support_Data!D71</f>
        <v>7</v>
      </c>
      <c r="AU91" s="57">
        <f>Support_Data!E71</f>
        <v>2.5</v>
      </c>
      <c r="AV91" s="57">
        <f>Support_Data!F71</f>
        <v>46.5</v>
      </c>
      <c r="AW91" s="57">
        <f>Support_Data!G71</f>
        <v>27</v>
      </c>
      <c r="AX91" s="57">
        <f>Support_Data!H71</f>
        <v>30</v>
      </c>
      <c r="AY91" s="57">
        <f>Support_Data!I71</f>
        <v>0</v>
      </c>
      <c r="BA91" s="15" t="s">
        <v>9</v>
      </c>
      <c r="BB91" s="15" t="s">
        <v>139</v>
      </c>
      <c r="BC91" s="36">
        <f>Support_Data!M71</f>
        <v>0</v>
      </c>
      <c r="BD91" s="36">
        <f>Support_Data!N71</f>
        <v>2.5</v>
      </c>
      <c r="BE91" s="36">
        <f>Support_Data!O71</f>
        <v>46.5</v>
      </c>
      <c r="BF91" s="36">
        <f>Support_Data!P71</f>
        <v>19</v>
      </c>
      <c r="BG91" s="36">
        <f>Support_Data!Q71</f>
        <v>3</v>
      </c>
      <c r="BH91" s="36">
        <f>Support_Data!R71</f>
        <v>0</v>
      </c>
      <c r="BX91"/>
    </row>
    <row r="92" spans="24:76" ht="14.55" customHeight="1">
      <c r="X92" s="21"/>
      <c r="Y92" s="16"/>
      <c r="AR92" s="30" t="s">
        <v>10</v>
      </c>
      <c r="AS92" s="30" t="s">
        <v>140</v>
      </c>
      <c r="AT92" s="57">
        <f>Support_Data!D72</f>
        <v>283</v>
      </c>
      <c r="AU92" s="57">
        <f>Support_Data!E72</f>
        <v>339.84000000000003</v>
      </c>
      <c r="AV92" s="57">
        <f>Support_Data!F72</f>
        <v>668.05</v>
      </c>
      <c r="AW92" s="57">
        <f>Support_Data!G72</f>
        <v>522.54999999999995</v>
      </c>
      <c r="AX92" s="57">
        <f>Support_Data!H72</f>
        <v>356.5</v>
      </c>
      <c r="AY92" s="57">
        <f>Support_Data!I72</f>
        <v>271</v>
      </c>
      <c r="BA92" s="15" t="s">
        <v>10</v>
      </c>
      <c r="BB92" s="15" t="s">
        <v>140</v>
      </c>
      <c r="BC92" s="36">
        <f>Support_Data!M72</f>
        <v>130.5</v>
      </c>
      <c r="BD92" s="36">
        <f>Support_Data!N72</f>
        <v>248.84</v>
      </c>
      <c r="BE92" s="36">
        <f>Support_Data!O72</f>
        <v>444.35</v>
      </c>
      <c r="BF92" s="36">
        <f>Support_Data!P72</f>
        <v>274.55</v>
      </c>
      <c r="BG92" s="36">
        <f>Support_Data!Q72</f>
        <v>192.5</v>
      </c>
      <c r="BH92" s="36">
        <f>Support_Data!R72</f>
        <v>271</v>
      </c>
      <c r="BX92"/>
    </row>
    <row r="93" spans="24:76" ht="14.55" customHeight="1">
      <c r="X93" s="21"/>
      <c r="Y93" s="16"/>
      <c r="AR93" s="30" t="s">
        <v>11</v>
      </c>
      <c r="AS93" s="30" t="s">
        <v>141</v>
      </c>
      <c r="AT93" s="57">
        <f>Support_Data!D73</f>
        <v>547.5</v>
      </c>
      <c r="AU93" s="57">
        <f>Support_Data!E73</f>
        <v>844.7</v>
      </c>
      <c r="AV93" s="57">
        <f>Support_Data!F73</f>
        <v>1360.85</v>
      </c>
      <c r="AW93" s="57">
        <f>Support_Data!G73</f>
        <v>1271.7</v>
      </c>
      <c r="AX93" s="57">
        <f>Support_Data!H73</f>
        <v>2156.38</v>
      </c>
      <c r="AY93" s="57">
        <f>Support_Data!I73</f>
        <v>1048.25</v>
      </c>
      <c r="BA93" s="15" t="s">
        <v>11</v>
      </c>
      <c r="BB93" s="15" t="s">
        <v>141</v>
      </c>
      <c r="BC93" s="36">
        <f>Support_Data!M73</f>
        <v>233.5</v>
      </c>
      <c r="BD93" s="36">
        <f>Support_Data!N73</f>
        <v>259.25</v>
      </c>
      <c r="BE93" s="36">
        <f>Support_Data!O73</f>
        <v>686.94999999999993</v>
      </c>
      <c r="BF93" s="36">
        <f>Support_Data!P73</f>
        <v>634.29999999999995</v>
      </c>
      <c r="BG93" s="36">
        <f>Support_Data!Q73</f>
        <v>1047.52</v>
      </c>
      <c r="BH93" s="36">
        <f>Support_Data!R73</f>
        <v>1048.25</v>
      </c>
      <c r="BX93"/>
    </row>
    <row r="94" spans="24:76" ht="14.55" customHeight="1">
      <c r="X94" s="21"/>
      <c r="Y94" s="16"/>
      <c r="AR94" s="30" t="s">
        <v>12</v>
      </c>
      <c r="AS94" s="30" t="s">
        <v>142</v>
      </c>
      <c r="AT94" s="57">
        <f>Support_Data!D74</f>
        <v>1914.05</v>
      </c>
      <c r="AU94" s="57">
        <f>Support_Data!E74</f>
        <v>4115.58</v>
      </c>
      <c r="AV94" s="57">
        <f>Support_Data!F74</f>
        <v>4955.91</v>
      </c>
      <c r="AW94" s="57">
        <f>Support_Data!G74</f>
        <v>4091.97</v>
      </c>
      <c r="AX94" s="57">
        <f>Support_Data!H74</f>
        <v>4002.8</v>
      </c>
      <c r="AY94" s="57">
        <f>Support_Data!I74</f>
        <v>1124</v>
      </c>
      <c r="BA94" s="15" t="s">
        <v>12</v>
      </c>
      <c r="BB94" s="15" t="s">
        <v>142</v>
      </c>
      <c r="BC94" s="36">
        <f>Support_Data!M74</f>
        <v>719.5</v>
      </c>
      <c r="BD94" s="36">
        <f>Support_Data!N74</f>
        <v>2721.58</v>
      </c>
      <c r="BE94" s="36">
        <f>Support_Data!O74</f>
        <v>2138.71</v>
      </c>
      <c r="BF94" s="36">
        <f>Support_Data!P74</f>
        <v>2285.4499999999998</v>
      </c>
      <c r="BG94" s="36">
        <f>Support_Data!Q74</f>
        <v>2130.8000000000002</v>
      </c>
      <c r="BH94" s="36">
        <f>Support_Data!R74</f>
        <v>1124</v>
      </c>
      <c r="BX94"/>
    </row>
    <row r="95" spans="24:76" ht="14.55" customHeight="1">
      <c r="X95" s="21"/>
      <c r="Y95" s="16"/>
      <c r="AR95" s="30" t="s">
        <v>13</v>
      </c>
      <c r="AS95" s="30" t="s">
        <v>143</v>
      </c>
      <c r="AT95" s="57">
        <f>Support_Data!D75</f>
        <v>330.75</v>
      </c>
      <c r="AU95" s="57">
        <f>Support_Data!E75</f>
        <v>283.25</v>
      </c>
      <c r="AV95" s="57">
        <f>Support_Data!F75</f>
        <v>1697.75</v>
      </c>
      <c r="AW95" s="57">
        <f>Support_Data!G75</f>
        <v>819.5</v>
      </c>
      <c r="AX95" s="57">
        <f>Support_Data!H75</f>
        <v>509.5</v>
      </c>
      <c r="AY95" s="57">
        <f>Support_Data!I75</f>
        <v>240.5</v>
      </c>
      <c r="BA95" s="15" t="s">
        <v>13</v>
      </c>
      <c r="BB95" s="15" t="s">
        <v>143</v>
      </c>
      <c r="BC95" s="36">
        <f>Support_Data!M75</f>
        <v>178.39999999999998</v>
      </c>
      <c r="BD95" s="36">
        <f>Support_Data!N75</f>
        <v>138.75</v>
      </c>
      <c r="BE95" s="36">
        <f>Support_Data!O75</f>
        <v>689.5</v>
      </c>
      <c r="BF95" s="36">
        <f>Support_Data!P75</f>
        <v>611.5</v>
      </c>
      <c r="BG95" s="36">
        <f>Support_Data!Q75</f>
        <v>275</v>
      </c>
      <c r="BH95" s="36">
        <f>Support_Data!R75</f>
        <v>240.5</v>
      </c>
      <c r="BX95"/>
    </row>
    <row r="96" spans="24:76" ht="14.55" customHeight="1">
      <c r="X96" s="21"/>
      <c r="Y96" s="16"/>
      <c r="AR96" s="30" t="s">
        <v>14</v>
      </c>
      <c r="AS96" s="30" t="s">
        <v>144</v>
      </c>
      <c r="AT96" s="57">
        <f>Support_Data!D76</f>
        <v>166</v>
      </c>
      <c r="AU96" s="57">
        <f>Support_Data!E76</f>
        <v>69.75</v>
      </c>
      <c r="AV96" s="57">
        <f>Support_Data!F76</f>
        <v>0.75</v>
      </c>
      <c r="AW96" s="57">
        <f>Support_Data!G76</f>
        <v>29</v>
      </c>
      <c r="AX96" s="57">
        <f>Support_Data!H76</f>
        <v>99.5</v>
      </c>
      <c r="AY96" s="57">
        <f>Support_Data!I76</f>
        <v>79.5</v>
      </c>
      <c r="BA96" s="15" t="s">
        <v>14</v>
      </c>
      <c r="BB96" s="15" t="s">
        <v>144</v>
      </c>
      <c r="BC96" s="36">
        <f>Support_Data!M76</f>
        <v>107</v>
      </c>
      <c r="BD96" s="36">
        <f>Support_Data!N76</f>
        <v>69.75</v>
      </c>
      <c r="BE96" s="36">
        <f>Support_Data!O76</f>
        <v>0</v>
      </c>
      <c r="BF96" s="36">
        <f>Support_Data!P76</f>
        <v>0</v>
      </c>
      <c r="BG96" s="36">
        <f>Support_Data!Q76</f>
        <v>0</v>
      </c>
      <c r="BH96" s="36">
        <f>Support_Data!R76</f>
        <v>79.5</v>
      </c>
      <c r="BX96"/>
    </row>
    <row r="97" spans="1:93" ht="14.55" customHeight="1">
      <c r="X97" s="21"/>
      <c r="Y97" s="16"/>
      <c r="AR97" s="30" t="s">
        <v>15</v>
      </c>
      <c r="AS97" s="30" t="s">
        <v>145</v>
      </c>
      <c r="AT97" s="57">
        <f>Support_Data!D77</f>
        <v>169.45</v>
      </c>
      <c r="AU97" s="57">
        <f>Support_Data!E77</f>
        <v>61.849999999999994</v>
      </c>
      <c r="AV97" s="57">
        <f>Support_Data!F77</f>
        <v>411.63</v>
      </c>
      <c r="AW97" s="57">
        <f>Support_Data!G77</f>
        <v>283.64999999999998</v>
      </c>
      <c r="AX97" s="57">
        <f>Support_Data!H77</f>
        <v>39.299999999999997</v>
      </c>
      <c r="AY97" s="57">
        <f>Support_Data!I77</f>
        <v>0</v>
      </c>
      <c r="BA97" s="15" t="s">
        <v>15</v>
      </c>
      <c r="BB97" s="15" t="s">
        <v>145</v>
      </c>
      <c r="BC97" s="36">
        <f>Support_Data!M77</f>
        <v>99.75</v>
      </c>
      <c r="BD97" s="36">
        <f>Support_Data!N77</f>
        <v>34.849999999999994</v>
      </c>
      <c r="BE97" s="36">
        <f>Support_Data!O77</f>
        <v>250.38</v>
      </c>
      <c r="BF97" s="36">
        <f>Support_Data!P77</f>
        <v>182.04999999999995</v>
      </c>
      <c r="BG97" s="36">
        <f>Support_Data!Q77</f>
        <v>31</v>
      </c>
      <c r="BH97" s="36">
        <f>Support_Data!R77</f>
        <v>0</v>
      </c>
      <c r="BX97"/>
    </row>
    <row r="98" spans="1:93" ht="14.55" customHeight="1">
      <c r="X98" s="21"/>
      <c r="Y98" s="16"/>
      <c r="AR98" s="30" t="s">
        <v>27</v>
      </c>
      <c r="AS98" s="30" t="s">
        <v>29</v>
      </c>
      <c r="AT98" s="57">
        <f>Support_Data!D78</f>
        <v>18444.660000000003</v>
      </c>
      <c r="AU98" s="57">
        <f>Support_Data!E78</f>
        <v>21991.14</v>
      </c>
      <c r="AV98" s="57">
        <f>Support_Data!F78</f>
        <v>25886.489999999998</v>
      </c>
      <c r="AW98" s="57">
        <f>Support_Data!G78</f>
        <v>22757.880000000005</v>
      </c>
      <c r="AX98" s="57">
        <f>Support_Data!H78</f>
        <v>22347.999999999996</v>
      </c>
      <c r="AY98" s="57">
        <f>Support_Data!I78</f>
        <v>7331.96</v>
      </c>
      <c r="BA98" s="15" t="s">
        <v>27</v>
      </c>
      <c r="BB98" s="14" t="s">
        <v>29</v>
      </c>
      <c r="BC98" s="36">
        <f>Support_Data!M78</f>
        <v>8983.3900000000012</v>
      </c>
      <c r="BD98" s="36">
        <f>Support_Data!N78</f>
        <v>12035.32</v>
      </c>
      <c r="BE98" s="36">
        <f>Support_Data!O78</f>
        <v>12478.4</v>
      </c>
      <c r="BF98" s="36">
        <f>Support_Data!P78</f>
        <v>12342.909999999996</v>
      </c>
      <c r="BG98" s="36">
        <f>Support_Data!Q78</f>
        <v>11785.670000000002</v>
      </c>
      <c r="BH98" s="36">
        <f>Support_Data!R78</f>
        <v>7331.96</v>
      </c>
      <c r="BX98"/>
    </row>
    <row r="99" spans="1:93" ht="14.55" customHeight="1">
      <c r="X99" s="21"/>
      <c r="Y99" s="16"/>
      <c r="AR99"/>
      <c r="AZ99" s="10"/>
      <c r="BA99" s="10"/>
      <c r="BX99"/>
    </row>
    <row r="100" spans="1:93" ht="14.55" customHeight="1">
      <c r="X100" s="21"/>
      <c r="Y100" s="16"/>
      <c r="AR100"/>
      <c r="BX100"/>
    </row>
    <row r="101" spans="1:93" ht="14.55" customHeight="1">
      <c r="X101" s="21"/>
      <c r="Y101" s="16"/>
      <c r="AR101"/>
      <c r="BX101"/>
    </row>
    <row r="102" spans="1:93" ht="19.2" customHeight="1">
      <c r="X102" s="21"/>
      <c r="Y102" s="16"/>
      <c r="AR102"/>
      <c r="BX102"/>
    </row>
    <row r="103" spans="1:93" s="10" customFormat="1" ht="14.5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21"/>
      <c r="Y103" s="16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 s="4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</row>
    <row r="104" spans="1:93" ht="14.55" customHeight="1">
      <c r="X104" s="21"/>
      <c r="Y104" s="16"/>
      <c r="AR104"/>
      <c r="BX104"/>
    </row>
    <row r="105" spans="1:93" ht="14.55" customHeight="1">
      <c r="X105" s="21"/>
      <c r="Y105" s="16"/>
      <c r="AR105"/>
      <c r="BX105"/>
    </row>
    <row r="106" spans="1:93" ht="14.55" customHeight="1">
      <c r="X106" s="21"/>
      <c r="Y106" s="16"/>
      <c r="AR106"/>
      <c r="BX106"/>
    </row>
    <row r="107" spans="1:93" ht="14.55" customHeight="1">
      <c r="X107" s="21"/>
      <c r="Y107" s="16"/>
      <c r="AR107"/>
      <c r="BX107"/>
    </row>
    <row r="108" spans="1:93" ht="14.55" customHeight="1">
      <c r="X108" s="21"/>
      <c r="Y108" s="16"/>
      <c r="AR108"/>
      <c r="BX108"/>
    </row>
    <row r="109" spans="1:93" ht="14.55" customHeight="1">
      <c r="X109" s="21"/>
      <c r="Y109" s="16"/>
      <c r="AR109"/>
      <c r="BX109"/>
    </row>
    <row r="110" spans="1:93" ht="14.55" customHeight="1">
      <c r="X110" s="21"/>
      <c r="Y110" s="16"/>
      <c r="AR110"/>
      <c r="BX110"/>
    </row>
    <row r="111" spans="1:93" ht="14.55" customHeight="1">
      <c r="X111" s="21"/>
      <c r="Y111" s="16"/>
      <c r="AR111"/>
      <c r="BX111"/>
    </row>
    <row r="112" spans="1:93" ht="14.55" customHeight="1">
      <c r="X112" s="21"/>
      <c r="Y112" s="16"/>
      <c r="AR112"/>
      <c r="BX112"/>
    </row>
    <row r="113" spans="24:76" ht="14.55" customHeight="1">
      <c r="X113" s="21"/>
      <c r="Y113" s="16"/>
      <c r="AR113"/>
      <c r="BX113"/>
    </row>
    <row r="114" spans="24:76" ht="14.55" customHeight="1">
      <c r="X114" s="21"/>
      <c r="Y114" s="16"/>
      <c r="AR114"/>
      <c r="BX114"/>
    </row>
    <row r="115" spans="24:76" ht="14.55" customHeight="1">
      <c r="X115" s="21"/>
      <c r="Y115" s="16"/>
      <c r="AR115"/>
      <c r="BX115"/>
    </row>
    <row r="116" spans="24:76" ht="14.55" customHeight="1">
      <c r="X116" s="21"/>
      <c r="Y116" s="16"/>
      <c r="AR116"/>
      <c r="BX116"/>
    </row>
    <row r="117" spans="24:76" ht="14.55" customHeight="1">
      <c r="X117" s="21"/>
      <c r="Y117" s="16"/>
      <c r="AR117"/>
      <c r="BX117"/>
    </row>
    <row r="118" spans="24:76" ht="14.55" customHeight="1">
      <c r="X118" s="21"/>
      <c r="Y118" s="16"/>
      <c r="AR118"/>
      <c r="BX118"/>
    </row>
    <row r="119" spans="24:76" ht="14.55" customHeight="1">
      <c r="X119" s="21"/>
      <c r="Y119" s="16"/>
      <c r="AR119"/>
      <c r="BX119"/>
    </row>
    <row r="120" spans="24:76" ht="14.55" customHeight="1">
      <c r="X120" s="21"/>
      <c r="Y120" s="16"/>
      <c r="AR120"/>
      <c r="BX120"/>
    </row>
    <row r="121" spans="24:76" ht="14.55" customHeight="1">
      <c r="X121" s="21"/>
      <c r="Y121" s="16"/>
      <c r="AR121"/>
      <c r="BX121"/>
    </row>
    <row r="122" spans="24:76" ht="14.55" customHeight="1">
      <c r="X122" s="21"/>
      <c r="Y122" s="16"/>
      <c r="AR122"/>
      <c r="BX122"/>
    </row>
    <row r="123" spans="24:76" ht="14.55" customHeight="1">
      <c r="X123" s="21"/>
      <c r="Y123" s="16"/>
      <c r="AR123"/>
      <c r="BX123"/>
    </row>
    <row r="124" spans="24:76" ht="14.55" customHeight="1">
      <c r="X124" s="21"/>
      <c r="Y124" s="16"/>
      <c r="AR124"/>
      <c r="AZ124" s="10"/>
      <c r="BA124" s="10"/>
      <c r="BX124"/>
    </row>
    <row r="125" spans="24:76" ht="14.55" customHeight="1">
      <c r="X125" s="21"/>
      <c r="Y125" s="16"/>
      <c r="AR125"/>
      <c r="BX125"/>
    </row>
    <row r="126" spans="24:76" ht="14.55" customHeight="1">
      <c r="X126" s="21"/>
      <c r="Y126" s="16"/>
      <c r="AR126"/>
      <c r="BX126"/>
    </row>
    <row r="127" spans="24:76" ht="19.2" customHeight="1">
      <c r="X127" s="21"/>
      <c r="Y127" s="16"/>
      <c r="AR127"/>
      <c r="BX127"/>
    </row>
    <row r="128" spans="24:76" ht="14.55" customHeight="1">
      <c r="X128" s="21"/>
      <c r="Y128" s="16"/>
      <c r="AR128"/>
      <c r="BX128"/>
    </row>
    <row r="129" spans="1:93" s="10" customFormat="1" ht="14.5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21"/>
      <c r="Y129" s="16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 s="4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X129"/>
      <c r="BY129"/>
      <c r="BZ129"/>
      <c r="CA129"/>
      <c r="CB129"/>
      <c r="CC129"/>
      <c r="CD129"/>
      <c r="CE129"/>
      <c r="CF129"/>
      <c r="CG129"/>
      <c r="CH129"/>
      <c r="CI129"/>
      <c r="CJ129"/>
      <c r="CK129"/>
      <c r="CL129"/>
      <c r="CM129"/>
      <c r="CN129"/>
      <c r="CO129"/>
    </row>
    <row r="130" spans="1:93" ht="14.55" customHeight="1">
      <c r="X130" s="21"/>
      <c r="Y130" s="16"/>
      <c r="AR130"/>
      <c r="BX130"/>
    </row>
    <row r="131" spans="1:93" ht="14.55" customHeight="1">
      <c r="X131" s="21"/>
      <c r="Y131" s="16"/>
      <c r="AR131"/>
      <c r="BX131"/>
    </row>
    <row r="132" spans="1:93" ht="14.55" customHeight="1">
      <c r="X132" s="21"/>
      <c r="Y132" s="16"/>
      <c r="AR132"/>
      <c r="BX132"/>
    </row>
    <row r="133" spans="1:93" ht="14.55" customHeight="1">
      <c r="X133" s="21"/>
      <c r="Y133" s="16"/>
      <c r="AR133"/>
      <c r="BX133"/>
    </row>
    <row r="134" spans="1:93" ht="14.55" customHeight="1">
      <c r="X134" s="21"/>
      <c r="Y134" s="16"/>
      <c r="AR134"/>
      <c r="BX134"/>
    </row>
    <row r="135" spans="1:93" ht="14.55" customHeight="1">
      <c r="X135" s="21"/>
      <c r="Y135" s="16"/>
      <c r="AR135"/>
      <c r="BX135"/>
    </row>
    <row r="136" spans="1:93" ht="14.55" customHeight="1">
      <c r="X136" s="21"/>
      <c r="Y136" s="16"/>
      <c r="AR136"/>
      <c r="BX136"/>
    </row>
    <row r="137" spans="1:93" ht="14.55" customHeight="1">
      <c r="X137" s="21"/>
      <c r="Y137" s="16"/>
      <c r="AR137"/>
      <c r="BX137"/>
    </row>
    <row r="138" spans="1:93" ht="14.55" customHeight="1">
      <c r="X138" s="21"/>
      <c r="Y138" s="16"/>
      <c r="AR138"/>
      <c r="BX138"/>
    </row>
    <row r="139" spans="1:93" ht="14.55" customHeight="1">
      <c r="X139" s="21"/>
      <c r="Y139" s="16"/>
      <c r="AR139"/>
      <c r="BX139"/>
    </row>
    <row r="140" spans="1:93" ht="14.55" customHeight="1">
      <c r="X140" s="21"/>
      <c r="Y140" s="16"/>
      <c r="AR140"/>
      <c r="BX140"/>
    </row>
    <row r="141" spans="1:93" ht="14.55" customHeight="1">
      <c r="X141" s="21"/>
      <c r="Y141" s="16"/>
      <c r="AR141"/>
      <c r="BX141"/>
    </row>
    <row r="142" spans="1:93" ht="14.55" customHeight="1">
      <c r="X142" s="21"/>
      <c r="Y142" s="16"/>
      <c r="AR142"/>
      <c r="BX142"/>
    </row>
    <row r="143" spans="1:93" ht="14.55" customHeight="1">
      <c r="X143" s="21"/>
      <c r="Y143" s="16"/>
      <c r="AR143"/>
      <c r="BX143"/>
    </row>
    <row r="144" spans="1:93" ht="14.55" customHeight="1">
      <c r="X144" s="21"/>
      <c r="Y144" s="16"/>
      <c r="AR144"/>
      <c r="BX144"/>
    </row>
    <row r="145" spans="24:76" ht="14.55" customHeight="1">
      <c r="X145" s="21"/>
      <c r="Y145" s="16"/>
      <c r="AR145"/>
      <c r="BX145"/>
    </row>
    <row r="146" spans="24:76" ht="14.55" customHeight="1">
      <c r="X146" s="21"/>
      <c r="Y146" s="16"/>
      <c r="AR146"/>
      <c r="BX146"/>
    </row>
    <row r="147" spans="24:76" ht="14.55" customHeight="1">
      <c r="X147" s="21"/>
      <c r="Y147" s="16"/>
      <c r="AR147"/>
      <c r="BX147"/>
    </row>
    <row r="148" spans="24:76" ht="14.55" customHeight="1">
      <c r="X148" s="21"/>
      <c r="Y148" s="16"/>
      <c r="AR148"/>
      <c r="BX148"/>
    </row>
    <row r="149" spans="24:76" ht="14.55" customHeight="1">
      <c r="X149" s="21"/>
      <c r="Y149" s="16"/>
      <c r="AR149"/>
      <c r="BX149"/>
    </row>
    <row r="150" spans="24:76" ht="14.55" customHeight="1">
      <c r="X150" s="21"/>
      <c r="Y150" s="16"/>
      <c r="AR150"/>
      <c r="AZ150" s="10"/>
      <c r="BA150" s="10"/>
      <c r="BX150"/>
    </row>
    <row r="151" spans="24:76" ht="14.55" customHeight="1">
      <c r="X151" s="21"/>
      <c r="Y151" s="16"/>
      <c r="AR151"/>
      <c r="BX151"/>
    </row>
    <row r="152" spans="24:76" ht="19.2" customHeight="1">
      <c r="X152" s="21"/>
      <c r="Y152" s="16"/>
      <c r="AR152"/>
      <c r="BX152"/>
    </row>
    <row r="153" spans="24:76" ht="14.55" customHeight="1">
      <c r="X153" s="21"/>
      <c r="Y153" s="16"/>
      <c r="AR153"/>
      <c r="BX153"/>
    </row>
    <row r="154" spans="24:76" ht="14.55" customHeight="1">
      <c r="X154" s="21"/>
      <c r="Y154" s="16"/>
      <c r="AR154"/>
      <c r="BX154"/>
    </row>
    <row r="155" spans="24:76" ht="14.55" customHeight="1">
      <c r="X155" s="21"/>
      <c r="Y155" s="16"/>
      <c r="AR155"/>
      <c r="BX155"/>
    </row>
    <row r="156" spans="24:76" ht="14.55" customHeight="1">
      <c r="X156" s="21"/>
      <c r="Y156" s="16"/>
      <c r="AR156"/>
      <c r="BX156"/>
    </row>
    <row r="157" spans="24:76" ht="14.55" customHeight="1">
      <c r="X157" s="21"/>
      <c r="Y157" s="16"/>
      <c r="AR157"/>
      <c r="BX157"/>
    </row>
    <row r="158" spans="24:76" ht="14.55" customHeight="1">
      <c r="X158" s="21"/>
      <c r="Y158" s="16"/>
      <c r="AR158"/>
      <c r="BX158"/>
    </row>
    <row r="159" spans="24:76" ht="14.55" customHeight="1">
      <c r="X159" s="21"/>
      <c r="Y159" s="16"/>
      <c r="AR159"/>
      <c r="BX159"/>
    </row>
    <row r="160" spans="24:76" ht="14.55" customHeight="1">
      <c r="X160" s="21"/>
      <c r="Y160" s="16"/>
      <c r="AR160"/>
      <c r="BX160"/>
    </row>
    <row r="161" spans="24:76" ht="14.55" customHeight="1">
      <c r="X161" s="21"/>
      <c r="Y161" s="16"/>
      <c r="AR161"/>
      <c r="BX161"/>
    </row>
    <row r="162" spans="24:76" ht="14.55" customHeight="1">
      <c r="X162" s="21"/>
      <c r="Y162" s="16"/>
      <c r="AR162"/>
      <c r="BX162"/>
    </row>
    <row r="163" spans="24:76" ht="14.55" customHeight="1">
      <c r="X163" s="21"/>
      <c r="Y163" s="16"/>
      <c r="AR163"/>
      <c r="BX163"/>
    </row>
    <row r="164" spans="24:76" ht="14.55" customHeight="1">
      <c r="X164" s="21"/>
      <c r="Y164" s="16"/>
      <c r="AR164"/>
      <c r="BX164"/>
    </row>
    <row r="165" spans="24:76" ht="14.55" customHeight="1">
      <c r="X165" s="21"/>
      <c r="Y165" s="16"/>
      <c r="AR165"/>
      <c r="BX165"/>
    </row>
    <row r="166" spans="24:76" ht="14.55" customHeight="1">
      <c r="X166" s="21"/>
      <c r="Y166" s="16"/>
      <c r="AR166"/>
      <c r="BX166"/>
    </row>
    <row r="167" spans="24:76" ht="14.55" customHeight="1">
      <c r="X167" s="21"/>
      <c r="Y167" s="16"/>
      <c r="AR167"/>
      <c r="BX167"/>
    </row>
    <row r="168" spans="24:76" ht="14.55" customHeight="1">
      <c r="X168" s="21"/>
      <c r="Y168" s="16"/>
      <c r="AR168"/>
      <c r="BX168"/>
    </row>
    <row r="169" spans="24:76" ht="14.55" customHeight="1">
      <c r="X169" s="21"/>
      <c r="Y169" s="16"/>
      <c r="AR169"/>
      <c r="BX169"/>
    </row>
    <row r="170" spans="24:76" ht="14.55" customHeight="1">
      <c r="X170" s="21"/>
      <c r="Y170" s="16"/>
      <c r="AR170"/>
      <c r="BX170"/>
    </row>
    <row r="171" spans="24:76" ht="14.55" customHeight="1">
      <c r="X171" s="21"/>
      <c r="Y171" s="16"/>
      <c r="AR171"/>
      <c r="BX171"/>
    </row>
    <row r="172" spans="24:76" ht="14.55" customHeight="1">
      <c r="X172" s="21"/>
      <c r="Y172" s="16"/>
      <c r="AR172"/>
      <c r="BX172"/>
    </row>
    <row r="173" spans="24:76" ht="14.55" customHeight="1">
      <c r="X173" s="21"/>
      <c r="Y173" s="16"/>
      <c r="AR173"/>
      <c r="BX173"/>
    </row>
    <row r="174" spans="24:76" ht="14.55" customHeight="1">
      <c r="X174" s="21"/>
      <c r="Y174" s="16"/>
      <c r="AR174"/>
      <c r="BX174"/>
    </row>
    <row r="175" spans="24:76" ht="14.25" customHeight="1">
      <c r="X175" s="21"/>
      <c r="Y175" s="16"/>
      <c r="AR175"/>
      <c r="BX175"/>
    </row>
    <row r="176" spans="24:76" ht="14.55" customHeight="1">
      <c r="X176" s="21"/>
      <c r="Y176" s="16"/>
      <c r="AR176"/>
      <c r="BX176"/>
    </row>
    <row r="177" spans="24:76" ht="19.2" customHeight="1">
      <c r="X177" s="21"/>
      <c r="Y177" s="16"/>
      <c r="AR177"/>
      <c r="BX177"/>
    </row>
    <row r="178" spans="24:76" ht="14.55" customHeight="1">
      <c r="X178" s="21"/>
      <c r="Y178" s="16"/>
      <c r="AR178"/>
      <c r="BX178"/>
    </row>
    <row r="179" spans="24:76" ht="14.55" customHeight="1">
      <c r="X179" s="21"/>
      <c r="Y179" s="16"/>
      <c r="AR179"/>
      <c r="BX179"/>
    </row>
    <row r="180" spans="24:76" ht="14.55" customHeight="1">
      <c r="X180" s="21"/>
      <c r="Y180" s="16"/>
      <c r="AR180"/>
      <c r="BX180"/>
    </row>
    <row r="181" spans="24:76" ht="14.55" customHeight="1">
      <c r="X181" s="21"/>
      <c r="Y181" s="16"/>
      <c r="AR181"/>
      <c r="BX181"/>
    </row>
    <row r="182" spans="24:76" ht="14.55" customHeight="1">
      <c r="X182" s="21"/>
      <c r="Y182" s="16"/>
      <c r="AR182"/>
      <c r="BX182"/>
    </row>
    <row r="183" spans="24:76" ht="14.55" customHeight="1">
      <c r="X183" s="21"/>
      <c r="Y183" s="16"/>
      <c r="AR183"/>
      <c r="BX183"/>
    </row>
    <row r="184" spans="24:76" ht="14.55" customHeight="1">
      <c r="X184" s="21"/>
      <c r="Y184" s="16"/>
      <c r="AR184"/>
      <c r="BX184"/>
    </row>
    <row r="185" spans="24:76" ht="14.55" customHeight="1">
      <c r="X185" s="21"/>
      <c r="Y185" s="16"/>
      <c r="AR185"/>
      <c r="BX185"/>
    </row>
    <row r="186" spans="24:76" ht="14.55" customHeight="1">
      <c r="X186" s="21"/>
      <c r="Y186" s="16"/>
      <c r="AR186"/>
      <c r="BX186"/>
    </row>
    <row r="187" spans="24:76" ht="14.55" customHeight="1">
      <c r="X187" s="21"/>
      <c r="Y187" s="16"/>
      <c r="AR187"/>
      <c r="BX187"/>
    </row>
    <row r="188" spans="24:76" ht="14.55" customHeight="1">
      <c r="X188" s="21"/>
      <c r="Y188" s="16"/>
      <c r="AR188"/>
      <c r="BX188"/>
    </row>
    <row r="189" spans="24:76" ht="14.55" customHeight="1">
      <c r="X189" s="21"/>
      <c r="Y189" s="16"/>
      <c r="AR189"/>
      <c r="BX189"/>
    </row>
    <row r="190" spans="24:76" ht="14.55" customHeight="1">
      <c r="X190" s="21"/>
      <c r="Y190" s="16"/>
      <c r="AR190"/>
      <c r="BX190"/>
    </row>
    <row r="191" spans="24:76" ht="14.55" customHeight="1">
      <c r="X191" s="21"/>
      <c r="Y191" s="16"/>
      <c r="AR191"/>
      <c r="BX191"/>
    </row>
    <row r="192" spans="24:76" ht="14.55" customHeight="1">
      <c r="X192" s="21"/>
      <c r="Y192" s="16"/>
      <c r="AR192"/>
      <c r="BX192"/>
    </row>
    <row r="193" spans="24:76" ht="14.55" customHeight="1">
      <c r="X193" s="21"/>
      <c r="Y193" s="16"/>
      <c r="AR193"/>
      <c r="BX193"/>
    </row>
    <row r="194" spans="24:76" ht="14.55" customHeight="1">
      <c r="X194" s="21"/>
      <c r="Y194" s="16"/>
      <c r="AR194"/>
      <c r="BX194"/>
    </row>
    <row r="195" spans="24:76" ht="14.55" customHeight="1">
      <c r="X195" s="21"/>
      <c r="Y195" s="16"/>
      <c r="AR195"/>
      <c r="BX195"/>
    </row>
    <row r="196" spans="24:76" ht="14.55" customHeight="1">
      <c r="X196" s="21"/>
      <c r="Y196" s="16"/>
      <c r="AR196"/>
      <c r="BX196"/>
    </row>
    <row r="197" spans="24:76" ht="14.55" customHeight="1">
      <c r="X197" s="21"/>
      <c r="Y197" s="16"/>
      <c r="AR197"/>
      <c r="BX197"/>
    </row>
    <row r="198" spans="24:76" ht="14.55" customHeight="1">
      <c r="X198" s="21"/>
      <c r="Y198" s="16"/>
      <c r="AR198"/>
      <c r="BX198"/>
    </row>
    <row r="199" spans="24:76" ht="14.55" customHeight="1">
      <c r="X199" s="21"/>
      <c r="Y199" s="16"/>
      <c r="AR199"/>
      <c r="BX199"/>
    </row>
    <row r="200" spans="24:76" ht="13.5" customHeight="1">
      <c r="X200" s="21"/>
      <c r="Y200" s="16"/>
      <c r="AR200"/>
      <c r="BX200"/>
    </row>
    <row r="201" spans="24:76" ht="14.55" customHeight="1">
      <c r="X201" s="21"/>
      <c r="Y201" s="16"/>
      <c r="AR201"/>
      <c r="BX201"/>
    </row>
    <row r="202" spans="24:76" ht="19.2" customHeight="1">
      <c r="X202" s="21"/>
      <c r="Y202" s="16"/>
      <c r="AR202"/>
      <c r="BX202"/>
    </row>
    <row r="203" spans="24:76" ht="14.55" customHeight="1">
      <c r="X203" s="21"/>
      <c r="Y203" s="16"/>
      <c r="AR203"/>
      <c r="BX203"/>
    </row>
    <row r="204" spans="24:76" ht="14.55" customHeight="1">
      <c r="X204" s="21"/>
      <c r="Y204" s="16"/>
      <c r="AR204"/>
      <c r="BX204"/>
    </row>
    <row r="205" spans="24:76" ht="14.55" customHeight="1">
      <c r="X205" s="21"/>
      <c r="Y205" s="16"/>
      <c r="AR205"/>
      <c r="BX205"/>
    </row>
    <row r="206" spans="24:76" ht="14.55" customHeight="1">
      <c r="X206" s="21"/>
      <c r="Y206" s="16"/>
      <c r="AR206"/>
      <c r="BX206"/>
    </row>
    <row r="207" spans="24:76" ht="14.55" customHeight="1">
      <c r="X207" s="21"/>
      <c r="Y207" s="16"/>
      <c r="AR207"/>
      <c r="BX207"/>
    </row>
    <row r="208" spans="24:76" ht="14.55" customHeight="1">
      <c r="X208" s="21"/>
      <c r="Y208" s="16"/>
      <c r="AR208"/>
      <c r="BX208"/>
    </row>
    <row r="209" spans="24:76" ht="14.55" customHeight="1">
      <c r="X209" s="21"/>
      <c r="Y209" s="16"/>
      <c r="AR209"/>
      <c r="BX209"/>
    </row>
    <row r="210" spans="24:76" ht="14.55" customHeight="1">
      <c r="X210" s="21"/>
      <c r="Y210" s="16"/>
      <c r="AR210"/>
      <c r="BX210"/>
    </row>
    <row r="211" spans="24:76" ht="14.55" customHeight="1">
      <c r="X211" s="21"/>
      <c r="Y211" s="16"/>
      <c r="AR211"/>
      <c r="BX211"/>
    </row>
    <row r="212" spans="24:76" ht="14.55" customHeight="1">
      <c r="X212" s="21"/>
      <c r="Y212" s="16"/>
      <c r="AR212"/>
      <c r="BX212"/>
    </row>
    <row r="213" spans="24:76" ht="14.55" customHeight="1">
      <c r="X213" s="21"/>
      <c r="Y213" s="16"/>
      <c r="AR213"/>
      <c r="BX213"/>
    </row>
    <row r="214" spans="24:76" ht="14.55" customHeight="1">
      <c r="X214" s="21"/>
      <c r="Y214" s="16"/>
      <c r="AR214"/>
      <c r="BX214"/>
    </row>
    <row r="215" spans="24:76" ht="14.55" customHeight="1">
      <c r="X215" s="21"/>
      <c r="Y215" s="16"/>
      <c r="AR215"/>
      <c r="BX215"/>
    </row>
    <row r="216" spans="24:76" ht="14.55" customHeight="1">
      <c r="X216" s="21"/>
      <c r="Y216" s="16"/>
      <c r="AR216"/>
      <c r="BX216"/>
    </row>
    <row r="217" spans="24:76" ht="14.55" customHeight="1">
      <c r="X217" s="21"/>
      <c r="Y217" s="16"/>
      <c r="AR217"/>
      <c r="BX217"/>
    </row>
    <row r="218" spans="24:76" ht="14.55" customHeight="1">
      <c r="X218" s="21"/>
      <c r="Y218" s="16"/>
      <c r="AR218"/>
      <c r="BX218"/>
    </row>
    <row r="219" spans="24:76" ht="14.55" customHeight="1">
      <c r="X219" s="21"/>
      <c r="Y219" s="16"/>
      <c r="AR219"/>
      <c r="BX219"/>
    </row>
    <row r="220" spans="24:76" ht="14.55" customHeight="1">
      <c r="X220" s="21"/>
      <c r="Y220" s="16"/>
      <c r="AR220"/>
      <c r="BX220"/>
    </row>
    <row r="221" spans="24:76" ht="14.55" customHeight="1">
      <c r="X221" s="21"/>
      <c r="Y221" s="16"/>
      <c r="AR221"/>
      <c r="BX221"/>
    </row>
    <row r="222" spans="24:76" ht="14.55" customHeight="1">
      <c r="X222" s="21"/>
      <c r="Y222" s="16"/>
      <c r="AR222"/>
      <c r="BX222"/>
    </row>
    <row r="223" spans="24:76" ht="14.55" customHeight="1">
      <c r="X223" s="21"/>
      <c r="Y223" s="16"/>
      <c r="AR223"/>
      <c r="BX223"/>
    </row>
    <row r="224" spans="24:76" ht="14.55" customHeight="1">
      <c r="X224" s="21"/>
      <c r="Y224" s="16"/>
      <c r="AR224"/>
      <c r="BX224"/>
    </row>
    <row r="225" spans="24:76" ht="14.55" customHeight="1">
      <c r="X225" s="21"/>
      <c r="Y225" s="16"/>
      <c r="AR225"/>
      <c r="BX225"/>
    </row>
    <row r="226" spans="24:76" ht="14.55" customHeight="1">
      <c r="X226" s="21"/>
      <c r="Y226" s="16"/>
      <c r="AR226"/>
      <c r="BX226"/>
    </row>
    <row r="227" spans="24:76" ht="19.2" customHeight="1">
      <c r="X227" s="21"/>
      <c r="Y227" s="16"/>
      <c r="AR227"/>
      <c r="BX227"/>
    </row>
    <row r="228" spans="24:76" ht="14.55" customHeight="1">
      <c r="X228" s="21"/>
      <c r="Y228" s="16"/>
      <c r="AR228"/>
      <c r="BX228"/>
    </row>
    <row r="229" spans="24:76" ht="14.55" customHeight="1">
      <c r="X229" s="21"/>
      <c r="Y229" s="16"/>
      <c r="AR229"/>
      <c r="BX229"/>
    </row>
    <row r="230" spans="24:76" ht="14.55" customHeight="1">
      <c r="X230" s="21"/>
      <c r="Y230" s="16"/>
      <c r="AR230"/>
      <c r="BX230"/>
    </row>
    <row r="231" spans="24:76" ht="14.55" customHeight="1">
      <c r="X231" s="21"/>
      <c r="Y231" s="16"/>
      <c r="AR231"/>
      <c r="BX231"/>
    </row>
    <row r="232" spans="24:76" ht="14.55" customHeight="1">
      <c r="X232" s="21"/>
      <c r="Y232" s="16"/>
      <c r="AR232"/>
      <c r="BX232"/>
    </row>
    <row r="233" spans="24:76" ht="14.55" customHeight="1">
      <c r="X233" s="21"/>
      <c r="Y233" s="16"/>
      <c r="AR233"/>
      <c r="BX233"/>
    </row>
    <row r="234" spans="24:76" ht="14.55" customHeight="1">
      <c r="X234" s="21"/>
      <c r="Y234" s="16"/>
      <c r="AR234"/>
      <c r="BX234"/>
    </row>
    <row r="235" spans="24:76" ht="14.55" customHeight="1">
      <c r="X235" s="21"/>
      <c r="Y235" s="16"/>
      <c r="AR235"/>
      <c r="BX235"/>
    </row>
    <row r="236" spans="24:76" ht="14.55" customHeight="1">
      <c r="X236" s="21"/>
      <c r="Y236" s="16"/>
      <c r="AR236"/>
      <c r="BX236"/>
    </row>
    <row r="237" spans="24:76" ht="14.55" customHeight="1">
      <c r="X237" s="21"/>
      <c r="Y237" s="16"/>
      <c r="AR237"/>
      <c r="BX237"/>
    </row>
    <row r="238" spans="24:76" ht="14.55" customHeight="1">
      <c r="X238" s="21"/>
      <c r="Y238" s="16"/>
      <c r="AR238"/>
      <c r="BX238"/>
    </row>
    <row r="239" spans="24:76" ht="14.55" customHeight="1">
      <c r="X239" s="21"/>
      <c r="Y239" s="16"/>
      <c r="AR239"/>
      <c r="BX239"/>
    </row>
    <row r="240" spans="24:76" ht="14.55" customHeight="1">
      <c r="X240" s="21"/>
      <c r="Y240" s="16"/>
      <c r="AR240"/>
      <c r="BX240"/>
    </row>
    <row r="241" spans="24:76" ht="14.55" customHeight="1">
      <c r="X241" s="21"/>
      <c r="Y241" s="16"/>
      <c r="AR241"/>
      <c r="BX241"/>
    </row>
    <row r="242" spans="24:76" ht="14.55" customHeight="1">
      <c r="X242" s="21"/>
      <c r="Y242" s="16"/>
      <c r="AR242"/>
      <c r="BX242"/>
    </row>
    <row r="243" spans="24:76" ht="14.55" customHeight="1">
      <c r="X243" s="21"/>
      <c r="Y243" s="16"/>
      <c r="AR243"/>
      <c r="BX243"/>
    </row>
    <row r="244" spans="24:76" ht="14.55" customHeight="1">
      <c r="X244" s="21"/>
      <c r="Y244" s="16"/>
      <c r="AR244"/>
      <c r="BX244"/>
    </row>
    <row r="245" spans="24:76" ht="14.55" customHeight="1">
      <c r="X245" s="21"/>
      <c r="Y245" s="16"/>
      <c r="AR245"/>
      <c r="BX245"/>
    </row>
    <row r="246" spans="24:76" ht="14.55" customHeight="1">
      <c r="X246" s="21"/>
      <c r="Y246" s="16"/>
      <c r="AR246"/>
      <c r="BX246"/>
    </row>
    <row r="247" spans="24:76" ht="14.55" customHeight="1">
      <c r="X247" s="21"/>
      <c r="Y247" s="16"/>
      <c r="AR247"/>
      <c r="BX247"/>
    </row>
    <row r="248" spans="24:76" ht="14.55" customHeight="1">
      <c r="X248" s="21"/>
      <c r="Y248" s="16"/>
      <c r="AR248"/>
      <c r="BX248"/>
    </row>
    <row r="249" spans="24:76" ht="14.55" customHeight="1">
      <c r="X249" s="21"/>
      <c r="Y249" s="16"/>
      <c r="AR249"/>
      <c r="BX249"/>
    </row>
    <row r="250" spans="24:76" ht="14.55" customHeight="1">
      <c r="X250" s="21"/>
      <c r="Y250" s="16"/>
      <c r="AR250"/>
      <c r="BX250"/>
    </row>
    <row r="251" spans="24:76" ht="14.55" customHeight="1">
      <c r="X251" s="21"/>
      <c r="Y251" s="16"/>
      <c r="AR251"/>
      <c r="BX251"/>
    </row>
    <row r="252" spans="24:76" ht="19.2" customHeight="1">
      <c r="X252" s="21"/>
      <c r="Y252" s="16"/>
      <c r="AR252"/>
      <c r="BX252"/>
    </row>
    <row r="253" spans="24:76" ht="14.55" customHeight="1">
      <c r="X253" s="21"/>
      <c r="Y253" s="16"/>
      <c r="AR253"/>
      <c r="BX253"/>
    </row>
    <row r="254" spans="24:76" ht="14.55" customHeight="1">
      <c r="X254" s="21"/>
      <c r="Y254" s="16"/>
      <c r="AR254"/>
      <c r="BX254"/>
    </row>
    <row r="255" spans="24:76" ht="14.55" customHeight="1">
      <c r="X255" s="21"/>
      <c r="Y255" s="16"/>
      <c r="AR255"/>
      <c r="BX255"/>
    </row>
    <row r="256" spans="24:76" ht="14.55" customHeight="1">
      <c r="X256" s="21"/>
      <c r="Y256" s="16"/>
      <c r="AR256"/>
      <c r="BX256"/>
    </row>
    <row r="257" spans="24:76" ht="14.55" customHeight="1">
      <c r="X257" s="21"/>
      <c r="Y257" s="16"/>
      <c r="AR257"/>
      <c r="BX257"/>
    </row>
    <row r="258" spans="24:76" ht="14.55" customHeight="1">
      <c r="X258" s="21"/>
      <c r="Y258" s="16"/>
      <c r="AR258"/>
      <c r="BX258"/>
    </row>
    <row r="259" spans="24:76" ht="14.55" customHeight="1">
      <c r="X259" s="21"/>
      <c r="Y259" s="16"/>
      <c r="AR259"/>
      <c r="BX259"/>
    </row>
    <row r="260" spans="24:76" ht="14.55" customHeight="1">
      <c r="X260" s="21"/>
      <c r="Y260" s="16"/>
      <c r="AR260"/>
      <c r="BX260"/>
    </row>
    <row r="261" spans="24:76" ht="14.55" customHeight="1">
      <c r="X261" s="21"/>
      <c r="Y261" s="16"/>
      <c r="AR261"/>
      <c r="BX261"/>
    </row>
    <row r="262" spans="24:76" ht="14.55" customHeight="1">
      <c r="X262" s="21"/>
      <c r="Y262" s="16"/>
      <c r="AR262"/>
      <c r="BX262"/>
    </row>
    <row r="263" spans="24:76" ht="14.55" customHeight="1">
      <c r="X263" s="21"/>
      <c r="Y263" s="16"/>
      <c r="AR263"/>
      <c r="BX263"/>
    </row>
    <row r="264" spans="24:76" ht="14.55" customHeight="1">
      <c r="X264" s="21"/>
      <c r="Y264" s="16"/>
      <c r="AR264"/>
      <c r="BX264"/>
    </row>
    <row r="265" spans="24:76" ht="14.55" customHeight="1">
      <c r="X265" s="21"/>
      <c r="Y265" s="16"/>
      <c r="AR265"/>
      <c r="BX265"/>
    </row>
    <row r="266" spans="24:76" ht="14.55" customHeight="1">
      <c r="X266" s="21"/>
      <c r="Y266" s="16"/>
      <c r="AR266"/>
      <c r="BX266"/>
    </row>
    <row r="267" spans="24:76" ht="14.55" customHeight="1">
      <c r="X267" s="21"/>
      <c r="Y267" s="16"/>
      <c r="AR267"/>
      <c r="BX267"/>
    </row>
    <row r="268" spans="24:76" ht="14.55" customHeight="1">
      <c r="X268" s="21"/>
      <c r="Y268" s="16"/>
      <c r="AR268"/>
      <c r="BX268"/>
    </row>
    <row r="269" spans="24:76" ht="14.55" customHeight="1">
      <c r="X269" s="21"/>
      <c r="Y269" s="16"/>
      <c r="AR269"/>
      <c r="BX269"/>
    </row>
    <row r="270" spans="24:76" ht="14.55" customHeight="1">
      <c r="X270" s="21"/>
      <c r="Y270" s="16"/>
      <c r="AR270"/>
      <c r="BX270"/>
    </row>
    <row r="271" spans="24:76" ht="14.55" customHeight="1">
      <c r="X271" s="21"/>
      <c r="Y271" s="16"/>
      <c r="AR271"/>
      <c r="BX271"/>
    </row>
    <row r="272" spans="24:76" ht="14.55" customHeight="1">
      <c r="X272" s="21"/>
      <c r="Y272" s="16"/>
      <c r="AR272"/>
      <c r="BX272"/>
    </row>
    <row r="273" spans="24:76" ht="14.55" customHeight="1">
      <c r="X273" s="21"/>
      <c r="Y273" s="16"/>
      <c r="AR273"/>
      <c r="BX273"/>
    </row>
    <row r="274" spans="24:76" ht="14.55" customHeight="1">
      <c r="X274" s="21"/>
      <c r="Y274" s="16"/>
      <c r="AR274"/>
      <c r="BX274"/>
    </row>
    <row r="275" spans="24:76" ht="14.55" customHeight="1">
      <c r="X275" s="21"/>
      <c r="Y275" s="16"/>
      <c r="AR275"/>
      <c r="BX275"/>
    </row>
    <row r="276" spans="24:76" ht="14.55" customHeight="1">
      <c r="X276" s="21"/>
      <c r="Y276" s="16"/>
      <c r="AR276"/>
      <c r="BX276"/>
    </row>
    <row r="277" spans="24:76" ht="19.2" customHeight="1">
      <c r="X277" s="21"/>
      <c r="Y277" s="16"/>
      <c r="AR277"/>
      <c r="BX277"/>
    </row>
    <row r="278" spans="24:76" ht="14.55" customHeight="1">
      <c r="X278" s="21"/>
      <c r="Y278" s="16"/>
      <c r="AR278"/>
      <c r="BX278"/>
    </row>
    <row r="279" spans="24:76" ht="14.55" customHeight="1">
      <c r="X279" s="21"/>
      <c r="Y279" s="16"/>
      <c r="AR279"/>
      <c r="BX279"/>
    </row>
    <row r="280" spans="24:76" ht="14.55" customHeight="1">
      <c r="X280" s="21"/>
      <c r="Y280" s="16"/>
      <c r="AR280"/>
      <c r="BX280"/>
    </row>
    <row r="281" spans="24:76" ht="14.55" customHeight="1">
      <c r="X281" s="21"/>
      <c r="Y281" s="16"/>
      <c r="AR281"/>
      <c r="BX281"/>
    </row>
    <row r="282" spans="24:76" ht="14.55" customHeight="1">
      <c r="X282" s="21"/>
      <c r="Y282" s="16"/>
      <c r="AR282"/>
      <c r="BX282"/>
    </row>
    <row r="283" spans="24:76" ht="14.55" customHeight="1">
      <c r="X283" s="21"/>
      <c r="Y283" s="16"/>
      <c r="AR283"/>
      <c r="BX283"/>
    </row>
    <row r="284" spans="24:76" ht="14.55" customHeight="1">
      <c r="X284" s="21"/>
      <c r="Y284" s="16"/>
      <c r="AR284"/>
      <c r="BX284"/>
    </row>
    <row r="285" spans="24:76" ht="14.55" customHeight="1">
      <c r="X285" s="21"/>
      <c r="Y285" s="16"/>
      <c r="AR285"/>
      <c r="BX285"/>
    </row>
    <row r="286" spans="24:76" ht="14.55" customHeight="1">
      <c r="X286" s="21"/>
      <c r="Y286" s="16"/>
      <c r="AR286"/>
      <c r="BX286"/>
    </row>
    <row r="287" spans="24:76" ht="14.55" customHeight="1">
      <c r="X287" s="21"/>
      <c r="Y287" s="16"/>
      <c r="AR287"/>
      <c r="BX287"/>
    </row>
    <row r="288" spans="24:76" ht="14.55" customHeight="1">
      <c r="X288" s="21"/>
      <c r="Y288" s="16"/>
      <c r="AR288"/>
      <c r="BX288"/>
    </row>
    <row r="289" spans="24:76" ht="14.55" customHeight="1">
      <c r="X289" s="21"/>
      <c r="Y289" s="16"/>
      <c r="AR289"/>
      <c r="BX289"/>
    </row>
    <row r="290" spans="24:76" ht="14.55" customHeight="1">
      <c r="X290" s="21"/>
      <c r="Y290" s="16"/>
      <c r="AR290"/>
      <c r="BX290"/>
    </row>
    <row r="291" spans="24:76" ht="14.55" customHeight="1">
      <c r="X291" s="21"/>
      <c r="Y291" s="16"/>
      <c r="AR291"/>
      <c r="BX291"/>
    </row>
    <row r="292" spans="24:76" ht="14.55" customHeight="1">
      <c r="X292" s="21"/>
      <c r="Y292" s="16"/>
      <c r="AR292"/>
      <c r="BX292"/>
    </row>
    <row r="293" spans="24:76" ht="14.55" customHeight="1">
      <c r="X293" s="21"/>
      <c r="Y293" s="16"/>
      <c r="AR293"/>
      <c r="BX293"/>
    </row>
    <row r="294" spans="24:76" ht="14.55" customHeight="1">
      <c r="X294" s="21"/>
      <c r="Y294" s="16"/>
      <c r="AR294"/>
      <c r="BX294"/>
    </row>
    <row r="295" spans="24:76" ht="14.55" customHeight="1">
      <c r="X295" s="21"/>
      <c r="Y295" s="16"/>
      <c r="AR295"/>
      <c r="BX295"/>
    </row>
    <row r="296" spans="24:76" ht="14.55" customHeight="1">
      <c r="X296" s="21"/>
      <c r="Y296" s="16"/>
      <c r="AR296"/>
      <c r="BX296"/>
    </row>
    <row r="297" spans="24:76" ht="14.55" customHeight="1">
      <c r="X297" s="21"/>
      <c r="Y297" s="16"/>
      <c r="AR297"/>
      <c r="BX297"/>
    </row>
    <row r="298" spans="24:76" ht="14.55" customHeight="1">
      <c r="X298" s="21"/>
      <c r="Y298" s="16"/>
      <c r="AR298"/>
      <c r="BX298"/>
    </row>
    <row r="299" spans="24:76" ht="14.55" customHeight="1">
      <c r="X299" s="21"/>
      <c r="Y299" s="16"/>
      <c r="AR299"/>
      <c r="BX299"/>
    </row>
    <row r="300" spans="24:76" ht="14.55" customHeight="1">
      <c r="X300" s="21"/>
      <c r="Y300" s="16"/>
      <c r="AR300"/>
      <c r="BX300"/>
    </row>
    <row r="301" spans="24:76" ht="14.55" customHeight="1">
      <c r="X301" s="21"/>
      <c r="Y301" s="16"/>
      <c r="AR301"/>
      <c r="BX301"/>
    </row>
    <row r="302" spans="24:76" ht="19.2" customHeight="1">
      <c r="X302" s="21"/>
      <c r="Y302" s="16"/>
      <c r="AR302"/>
      <c r="BX302"/>
    </row>
    <row r="303" spans="24:76" ht="14.55" customHeight="1">
      <c r="X303" s="21"/>
      <c r="Y303" s="16"/>
      <c r="AR303"/>
      <c r="BX303"/>
    </row>
    <row r="304" spans="24:76" ht="14.55" customHeight="1">
      <c r="X304" s="21"/>
      <c r="Y304" s="16"/>
      <c r="AR304"/>
      <c r="BX304"/>
    </row>
    <row r="305" spans="24:76" ht="14.55" customHeight="1">
      <c r="X305" s="21"/>
      <c r="Y305" s="16"/>
      <c r="AR305"/>
      <c r="BX305"/>
    </row>
    <row r="306" spans="24:76" ht="14.55" customHeight="1">
      <c r="X306" s="21"/>
      <c r="Y306" s="16"/>
      <c r="AR306"/>
      <c r="BX306"/>
    </row>
    <row r="307" spans="24:76" ht="14.55" customHeight="1">
      <c r="X307" s="21"/>
      <c r="Y307" s="16"/>
      <c r="AR307"/>
      <c r="BX307"/>
    </row>
    <row r="308" spans="24:76" ht="14.55" customHeight="1">
      <c r="X308" s="21"/>
      <c r="Y308" s="16"/>
      <c r="AR308"/>
      <c r="BX308"/>
    </row>
    <row r="309" spans="24:76" ht="14.55" customHeight="1">
      <c r="X309" s="21"/>
      <c r="Y309" s="16"/>
      <c r="AR309"/>
      <c r="BX309"/>
    </row>
    <row r="310" spans="24:76" ht="14.55" customHeight="1">
      <c r="X310" s="21"/>
      <c r="Y310" s="16"/>
      <c r="AR310"/>
      <c r="BX310"/>
    </row>
    <row r="311" spans="24:76" ht="14.55" customHeight="1">
      <c r="X311" s="21"/>
      <c r="Y311" s="16"/>
      <c r="AR311"/>
      <c r="BX311"/>
    </row>
    <row r="312" spans="24:76" ht="14.55" customHeight="1">
      <c r="X312" s="21"/>
      <c r="Y312" s="16"/>
      <c r="AR312"/>
      <c r="BX312"/>
    </row>
    <row r="313" spans="24:76" ht="14.55" customHeight="1">
      <c r="X313" s="21"/>
      <c r="Y313" s="16"/>
      <c r="AR313"/>
      <c r="BX313"/>
    </row>
    <row r="314" spans="24:76" ht="14.55" customHeight="1">
      <c r="X314" s="21"/>
      <c r="Y314" s="16"/>
      <c r="AR314"/>
      <c r="BX314"/>
    </row>
    <row r="315" spans="24:76" ht="14.55" customHeight="1">
      <c r="X315" s="21"/>
      <c r="Y315" s="16"/>
      <c r="AR315"/>
      <c r="BX315"/>
    </row>
    <row r="316" spans="24:76" ht="14.55" customHeight="1">
      <c r="X316" s="21"/>
      <c r="Y316" s="16"/>
      <c r="AR316"/>
      <c r="BX316"/>
    </row>
    <row r="317" spans="24:76" ht="14.55" customHeight="1">
      <c r="X317" s="21"/>
      <c r="Y317" s="16"/>
      <c r="AR317"/>
      <c r="BX317"/>
    </row>
    <row r="318" spans="24:76" ht="14.55" customHeight="1">
      <c r="X318" s="21"/>
      <c r="Y318" s="16"/>
      <c r="AR318"/>
      <c r="BX318"/>
    </row>
    <row r="319" spans="24:76" ht="14.55" customHeight="1">
      <c r="X319" s="21"/>
      <c r="Y319" s="16"/>
      <c r="AR319"/>
      <c r="BX319"/>
    </row>
    <row r="320" spans="24:76" ht="14.55" customHeight="1">
      <c r="X320" s="21"/>
      <c r="Y320" s="16"/>
      <c r="AR320"/>
      <c r="BX320"/>
    </row>
    <row r="321" spans="24:76" ht="14.55" customHeight="1">
      <c r="X321" s="21"/>
      <c r="Y321" s="16"/>
      <c r="AR321"/>
      <c r="BX321"/>
    </row>
    <row r="322" spans="24:76" ht="14.55" customHeight="1">
      <c r="X322" s="21"/>
      <c r="Y322" s="16"/>
      <c r="AR322"/>
      <c r="BX322"/>
    </row>
    <row r="323" spans="24:76" ht="14.55" customHeight="1">
      <c r="X323" s="21"/>
      <c r="Y323" s="16"/>
      <c r="AR323"/>
      <c r="BX323"/>
    </row>
    <row r="324" spans="24:76" ht="14.55" customHeight="1">
      <c r="X324" s="21"/>
      <c r="Y324" s="16"/>
      <c r="AR324"/>
      <c r="BX324"/>
    </row>
    <row r="325" spans="24:76" ht="14.55" customHeight="1">
      <c r="X325" s="21"/>
      <c r="Y325" s="16"/>
      <c r="AR325"/>
      <c r="BX325"/>
    </row>
    <row r="326" spans="24:76" ht="14.55" customHeight="1">
      <c r="X326" s="21"/>
      <c r="Y326" s="16"/>
      <c r="AR326"/>
      <c r="BX326"/>
    </row>
    <row r="327" spans="24:76" ht="14.55" customHeight="1">
      <c r="X327" s="21"/>
      <c r="Y327" s="16"/>
      <c r="AR327"/>
      <c r="BX327"/>
    </row>
    <row r="328" spans="24:76" ht="14.55" customHeight="1">
      <c r="X328" s="21"/>
      <c r="Y328" s="16"/>
      <c r="AR328"/>
      <c r="BX328"/>
    </row>
    <row r="329" spans="24:76" ht="14.55" customHeight="1">
      <c r="X329" s="21"/>
      <c r="Y329" s="16"/>
      <c r="AR329"/>
      <c r="BX329"/>
    </row>
    <row r="330" spans="24:76">
      <c r="X330" s="21"/>
      <c r="Y330" s="16"/>
      <c r="AR330"/>
      <c r="BX330"/>
    </row>
    <row r="331" spans="24:76">
      <c r="X331" s="21"/>
      <c r="Y331" s="16"/>
      <c r="AR331"/>
      <c r="BX331"/>
    </row>
    <row r="332" spans="24:76">
      <c r="X332" s="21"/>
      <c r="Y332" s="16"/>
      <c r="AR332"/>
      <c r="BX332"/>
    </row>
    <row r="333" spans="24:76">
      <c r="X333" s="21"/>
      <c r="Y333" s="16"/>
      <c r="AR333"/>
      <c r="BX333"/>
    </row>
    <row r="334" spans="24:76">
      <c r="X334" s="21"/>
      <c r="Y334" s="16"/>
      <c r="AR334"/>
      <c r="BX334"/>
    </row>
    <row r="335" spans="24:76">
      <c r="X335" s="21"/>
      <c r="Y335" s="16"/>
      <c r="AR335"/>
      <c r="BX335"/>
    </row>
    <row r="336" spans="24:76">
      <c r="X336" s="21"/>
      <c r="Y336" s="16"/>
      <c r="AR336"/>
      <c r="BX336"/>
    </row>
    <row r="337" spans="24:76">
      <c r="X337" s="21"/>
      <c r="Y337" s="16"/>
      <c r="AR337"/>
      <c r="BX337"/>
    </row>
    <row r="338" spans="24:76">
      <c r="X338" s="21"/>
      <c r="Y338" s="16"/>
      <c r="AR338"/>
      <c r="BX338"/>
    </row>
    <row r="339" spans="24:76">
      <c r="X339" s="21"/>
      <c r="Y339" s="16"/>
      <c r="AR339"/>
      <c r="BX339"/>
    </row>
    <row r="340" spans="24:76">
      <c r="X340" s="21"/>
      <c r="Y340" s="16"/>
      <c r="AR340"/>
      <c r="BX340"/>
    </row>
    <row r="341" spans="24:76">
      <c r="X341" s="21"/>
      <c r="Y341" s="16"/>
      <c r="AR341"/>
      <c r="BX341"/>
    </row>
    <row r="342" spans="24:76">
      <c r="X342" s="21"/>
      <c r="Y342" s="16"/>
      <c r="AR342"/>
      <c r="BX342"/>
    </row>
    <row r="343" spans="24:76">
      <c r="X343" s="21"/>
      <c r="Y343" s="16"/>
      <c r="AR343"/>
      <c r="BX343"/>
    </row>
    <row r="344" spans="24:76">
      <c r="X344" s="21"/>
      <c r="Y344" s="16"/>
      <c r="AR344"/>
      <c r="BX344"/>
    </row>
    <row r="345" spans="24:76">
      <c r="X345" s="21"/>
      <c r="Y345" s="16"/>
      <c r="AR345"/>
      <c r="BX345"/>
    </row>
    <row r="346" spans="24:76">
      <c r="X346" s="21"/>
      <c r="Y346" s="16"/>
      <c r="AR346"/>
      <c r="BX346"/>
    </row>
    <row r="347" spans="24:76">
      <c r="X347" s="21"/>
      <c r="Y347" s="16"/>
      <c r="AR347"/>
      <c r="BX347"/>
    </row>
    <row r="348" spans="24:76">
      <c r="X348" s="21"/>
      <c r="Y348" s="16"/>
      <c r="AR348"/>
      <c r="BX348"/>
    </row>
    <row r="349" spans="24:76">
      <c r="X349" s="21"/>
      <c r="Y349" s="16"/>
      <c r="AR349"/>
      <c r="BX349"/>
    </row>
    <row r="350" spans="24:76">
      <c r="X350" s="21"/>
      <c r="Y350" s="16"/>
      <c r="AR350"/>
      <c r="BX350"/>
    </row>
    <row r="351" spans="24:76">
      <c r="X351" s="21"/>
      <c r="Y351" s="16"/>
      <c r="AR351"/>
      <c r="BX351"/>
    </row>
    <row r="352" spans="24:76">
      <c r="X352" s="21"/>
      <c r="Y352" s="16"/>
      <c r="AR352"/>
      <c r="BX352"/>
    </row>
    <row r="353" spans="24:76">
      <c r="X353" s="21"/>
      <c r="Y353" s="16"/>
      <c r="AR353"/>
      <c r="BX353"/>
    </row>
    <row r="354" spans="24:76">
      <c r="X354" s="21"/>
      <c r="Y354" s="16"/>
      <c r="AR354"/>
      <c r="BX354"/>
    </row>
    <row r="355" spans="24:76">
      <c r="X355" s="21"/>
      <c r="Y355" s="16"/>
      <c r="AR355"/>
      <c r="BX355"/>
    </row>
    <row r="356" spans="24:76">
      <c r="X356" s="21"/>
      <c r="Y356" s="16"/>
      <c r="AR356"/>
      <c r="BX356"/>
    </row>
    <row r="357" spans="24:76">
      <c r="X357" s="21"/>
      <c r="Y357" s="16"/>
      <c r="AR357"/>
      <c r="BX357"/>
    </row>
    <row r="358" spans="24:76">
      <c r="X358" s="21"/>
      <c r="Y358" s="16"/>
      <c r="AR358"/>
      <c r="BX358"/>
    </row>
    <row r="359" spans="24:76">
      <c r="X359" s="21"/>
      <c r="Y359" s="16"/>
      <c r="AR359"/>
      <c r="BX359"/>
    </row>
    <row r="360" spans="24:76">
      <c r="X360" s="21"/>
      <c r="Y360" s="16"/>
      <c r="AR360"/>
      <c r="BX360"/>
    </row>
    <row r="361" spans="24:76">
      <c r="X361" s="21"/>
      <c r="Y361" s="16"/>
      <c r="AR361"/>
      <c r="BX361"/>
    </row>
    <row r="362" spans="24:76">
      <c r="X362" s="21"/>
      <c r="Y362" s="16"/>
      <c r="AR362"/>
      <c r="BX362"/>
    </row>
    <row r="363" spans="24:76">
      <c r="X363" s="21"/>
      <c r="Y363" s="16"/>
      <c r="AR363"/>
      <c r="BX363"/>
    </row>
    <row r="364" spans="24:76">
      <c r="X364" s="21"/>
      <c r="Y364" s="16"/>
      <c r="AR364"/>
      <c r="BX364"/>
    </row>
    <row r="365" spans="24:76">
      <c r="X365" s="21"/>
      <c r="Y365" s="16"/>
      <c r="AR365"/>
      <c r="BX365"/>
    </row>
    <row r="366" spans="24:76">
      <c r="X366" s="21"/>
      <c r="Y366" s="16"/>
      <c r="AR366"/>
      <c r="BX366"/>
    </row>
    <row r="367" spans="24:76">
      <c r="X367" s="21"/>
      <c r="Y367" s="16"/>
      <c r="AR367"/>
      <c r="BX367"/>
    </row>
    <row r="368" spans="24:76">
      <c r="X368" s="21"/>
      <c r="Y368" s="16"/>
      <c r="AR368"/>
      <c r="BX368"/>
    </row>
    <row r="369" spans="24:76">
      <c r="X369" s="21"/>
      <c r="Y369" s="16"/>
      <c r="AR369"/>
      <c r="BX369"/>
    </row>
    <row r="370" spans="24:76">
      <c r="X370" s="21"/>
      <c r="Y370" s="16"/>
      <c r="AR370"/>
      <c r="BX370"/>
    </row>
    <row r="371" spans="24:76">
      <c r="X371" s="21"/>
      <c r="Y371" s="16"/>
      <c r="AR371"/>
      <c r="BX371"/>
    </row>
    <row r="372" spans="24:76">
      <c r="X372" s="21"/>
      <c r="Y372" s="16"/>
      <c r="AR372"/>
      <c r="BX372"/>
    </row>
    <row r="373" spans="24:76">
      <c r="X373" s="21"/>
      <c r="Y373" s="16"/>
      <c r="BX373"/>
    </row>
    <row r="374" spans="24:76">
      <c r="X374" s="21"/>
      <c r="Y374" s="16"/>
      <c r="BX374"/>
    </row>
    <row r="375" spans="24:76">
      <c r="X375" s="21"/>
      <c r="Y375" s="16"/>
      <c r="BX375"/>
    </row>
    <row r="376" spans="24:76">
      <c r="X376" s="21"/>
      <c r="BX376"/>
    </row>
    <row r="377" spans="24:76">
      <c r="X377" s="21"/>
      <c r="BX377"/>
    </row>
    <row r="378" spans="24:76">
      <c r="X378" s="21"/>
      <c r="BX378"/>
    </row>
    <row r="379" spans="24:76">
      <c r="X379" s="21"/>
      <c r="BX379"/>
    </row>
    <row r="380" spans="24:76">
      <c r="X380" s="21"/>
      <c r="BX380"/>
    </row>
    <row r="381" spans="24:76">
      <c r="X381" s="21"/>
      <c r="BX381"/>
    </row>
    <row r="382" spans="24:76">
      <c r="X382" s="21"/>
      <c r="BX382"/>
    </row>
    <row r="383" spans="24:76">
      <c r="X383" s="21"/>
      <c r="BX383"/>
    </row>
    <row r="384" spans="24:76">
      <c r="X384" s="21"/>
      <c r="BX384"/>
    </row>
    <row r="385" spans="24:76">
      <c r="X385" s="21"/>
      <c r="BX385"/>
    </row>
    <row r="386" spans="24:76">
      <c r="X386" s="21"/>
      <c r="BX386"/>
    </row>
    <row r="387" spans="24:76">
      <c r="X387" s="21"/>
      <c r="BX387"/>
    </row>
    <row r="388" spans="24:76">
      <c r="X388" s="21"/>
      <c r="BX388"/>
    </row>
    <row r="389" spans="24:76">
      <c r="X389" s="21"/>
      <c r="BX389"/>
    </row>
    <row r="390" spans="24:76">
      <c r="X390" s="21"/>
      <c r="BX390"/>
    </row>
    <row r="391" spans="24:76">
      <c r="X391" s="21"/>
      <c r="BX391"/>
    </row>
    <row r="392" spans="24:76">
      <c r="X392" s="21"/>
      <c r="BX392"/>
    </row>
    <row r="393" spans="24:76">
      <c r="X393" s="21"/>
      <c r="BX393"/>
    </row>
    <row r="394" spans="24:76">
      <c r="X394" s="21"/>
      <c r="BX394"/>
    </row>
    <row r="395" spans="24:76">
      <c r="X395" s="21"/>
      <c r="BX395"/>
    </row>
    <row r="396" spans="24:76">
      <c r="X396" s="21"/>
      <c r="BX396"/>
    </row>
    <row r="397" spans="24:76">
      <c r="X397" s="21"/>
      <c r="BX397"/>
    </row>
    <row r="398" spans="24:76">
      <c r="X398" s="21"/>
      <c r="BX398"/>
    </row>
    <row r="399" spans="24:76">
      <c r="X399" s="21"/>
      <c r="BX399"/>
    </row>
    <row r="400" spans="24:76">
      <c r="X400" s="21"/>
      <c r="BX400"/>
    </row>
    <row r="401" spans="24:76">
      <c r="X401" s="21"/>
      <c r="BX401"/>
    </row>
    <row r="402" spans="24:76">
      <c r="X402" s="21"/>
      <c r="BX402"/>
    </row>
    <row r="403" spans="24:76">
      <c r="X403" s="21"/>
      <c r="BX403"/>
    </row>
    <row r="404" spans="24:76">
      <c r="X404" s="21"/>
      <c r="BX404"/>
    </row>
    <row r="405" spans="24:76">
      <c r="X405" s="21"/>
      <c r="BX405"/>
    </row>
    <row r="406" spans="24:76">
      <c r="X406" s="21"/>
      <c r="BX406"/>
    </row>
    <row r="407" spans="24:76">
      <c r="X407" s="21"/>
      <c r="BX407"/>
    </row>
    <row r="408" spans="24:76">
      <c r="X408" s="21"/>
      <c r="BX408"/>
    </row>
    <row r="409" spans="24:76">
      <c r="X409" s="21"/>
      <c r="BX409"/>
    </row>
    <row r="410" spans="24:76">
      <c r="X410" s="21"/>
      <c r="BX410"/>
    </row>
    <row r="411" spans="24:76">
      <c r="X411" s="21"/>
      <c r="BX411"/>
    </row>
    <row r="412" spans="24:76">
      <c r="X412" s="21"/>
      <c r="BX412"/>
    </row>
    <row r="413" spans="24:76">
      <c r="X413" s="21"/>
      <c r="BX413"/>
    </row>
    <row r="414" spans="24:76">
      <c r="X414" s="21"/>
      <c r="BX414"/>
    </row>
    <row r="415" spans="24:76">
      <c r="X415" s="21"/>
      <c r="BX415"/>
    </row>
    <row r="416" spans="24:76">
      <c r="X416" s="21"/>
      <c r="BX416"/>
    </row>
    <row r="417" spans="24:76">
      <c r="X417" s="21"/>
      <c r="BX417"/>
    </row>
    <row r="418" spans="24:76">
      <c r="X418" s="21"/>
      <c r="BX418"/>
    </row>
    <row r="419" spans="24:76">
      <c r="X419" s="21"/>
      <c r="BX419"/>
    </row>
    <row r="420" spans="24:76">
      <c r="X420" s="21"/>
      <c r="BX420"/>
    </row>
    <row r="421" spans="24:76">
      <c r="X421" s="21"/>
      <c r="BX421"/>
    </row>
    <row r="422" spans="24:76">
      <c r="X422" s="21"/>
      <c r="BX422"/>
    </row>
    <row r="423" spans="24:76">
      <c r="X423" s="21"/>
      <c r="BX423"/>
    </row>
    <row r="424" spans="24:76">
      <c r="X424" s="21"/>
      <c r="BX424"/>
    </row>
    <row r="425" spans="24:76">
      <c r="X425" s="21"/>
      <c r="BX425"/>
    </row>
    <row r="426" spans="24:76">
      <c r="X426" s="21"/>
      <c r="BX426"/>
    </row>
    <row r="427" spans="24:76">
      <c r="X427" s="21"/>
      <c r="BX427"/>
    </row>
    <row r="428" spans="24:76">
      <c r="X428" s="21"/>
      <c r="BX428"/>
    </row>
    <row r="429" spans="24:76">
      <c r="X429" s="21"/>
      <c r="BX429"/>
    </row>
    <row r="430" spans="24:76">
      <c r="X430" s="21"/>
      <c r="BX430"/>
    </row>
    <row r="431" spans="24:76">
      <c r="X431" s="21"/>
      <c r="BX431"/>
    </row>
    <row r="432" spans="24:76">
      <c r="X432" s="21"/>
      <c r="BX432"/>
    </row>
    <row r="433" spans="24:76">
      <c r="X433" s="21"/>
      <c r="BX433"/>
    </row>
    <row r="434" spans="24:76">
      <c r="X434" s="21"/>
      <c r="BX434"/>
    </row>
    <row r="435" spans="24:76">
      <c r="X435" s="21"/>
      <c r="BX435"/>
    </row>
    <row r="436" spans="24:76">
      <c r="X436" s="21"/>
      <c r="BX436"/>
    </row>
    <row r="437" spans="24:76">
      <c r="X437" s="21"/>
      <c r="BX437"/>
    </row>
    <row r="438" spans="24:76">
      <c r="X438" s="21"/>
      <c r="BX438"/>
    </row>
    <row r="439" spans="24:76">
      <c r="X439" s="21"/>
      <c r="BX439"/>
    </row>
    <row r="440" spans="24:76">
      <c r="X440" s="21"/>
      <c r="BX440"/>
    </row>
    <row r="441" spans="24:76">
      <c r="X441" s="21"/>
      <c r="BX441"/>
    </row>
    <row r="442" spans="24:76">
      <c r="X442" s="21"/>
      <c r="BX442"/>
    </row>
    <row r="443" spans="24:76">
      <c r="X443" s="21"/>
      <c r="BX443"/>
    </row>
    <row r="444" spans="24:76">
      <c r="X444" s="21"/>
      <c r="BX444"/>
    </row>
    <row r="445" spans="24:76">
      <c r="X445" s="21"/>
      <c r="BX445"/>
    </row>
    <row r="446" spans="24:76">
      <c r="X446" s="21"/>
      <c r="BX446"/>
    </row>
    <row r="447" spans="24:76">
      <c r="X447" s="21"/>
      <c r="BX447"/>
    </row>
    <row r="448" spans="24:76">
      <c r="X448" s="21"/>
      <c r="BX448"/>
    </row>
    <row r="449" spans="24:76">
      <c r="X449" s="21"/>
      <c r="BX449"/>
    </row>
    <row r="450" spans="24:76">
      <c r="X450" s="21"/>
      <c r="BX450"/>
    </row>
    <row r="451" spans="24:76">
      <c r="X451" s="21"/>
      <c r="BX451"/>
    </row>
    <row r="452" spans="24:76">
      <c r="X452" s="21"/>
      <c r="BX452"/>
    </row>
    <row r="453" spans="24:76">
      <c r="X453" s="21"/>
      <c r="BX453"/>
    </row>
    <row r="454" spans="24:76">
      <c r="X454" s="21"/>
      <c r="BX454"/>
    </row>
    <row r="455" spans="24:76">
      <c r="X455" s="21"/>
      <c r="BX455"/>
    </row>
    <row r="456" spans="24:76">
      <c r="X456" s="21"/>
      <c r="BX456"/>
    </row>
    <row r="457" spans="24:76">
      <c r="X457" s="21"/>
      <c r="BX457"/>
    </row>
    <row r="458" spans="24:76">
      <c r="X458" s="21"/>
      <c r="BX458"/>
    </row>
    <row r="459" spans="24:76">
      <c r="X459" s="21"/>
      <c r="BX459"/>
    </row>
    <row r="460" spans="24:76">
      <c r="X460" s="21"/>
      <c r="BX460"/>
    </row>
    <row r="461" spans="24:76">
      <c r="X461" s="21"/>
      <c r="BX461"/>
    </row>
    <row r="462" spans="24:76">
      <c r="X462" s="21"/>
      <c r="BX462"/>
    </row>
    <row r="463" spans="24:76">
      <c r="X463" s="21"/>
      <c r="BX463"/>
    </row>
    <row r="464" spans="24:76">
      <c r="X464" s="21"/>
      <c r="BX464"/>
    </row>
    <row r="465" spans="24:76">
      <c r="X465" s="21"/>
      <c r="BX465"/>
    </row>
    <row r="466" spans="24:76">
      <c r="X466" s="21"/>
      <c r="BX466"/>
    </row>
    <row r="467" spans="24:76">
      <c r="X467" s="21"/>
      <c r="BX467"/>
    </row>
    <row r="468" spans="24:76">
      <c r="X468" s="21"/>
      <c r="BX468"/>
    </row>
    <row r="469" spans="24:76">
      <c r="X469" s="21"/>
      <c r="BX469"/>
    </row>
    <row r="470" spans="24:76">
      <c r="X470" s="21"/>
      <c r="BX470"/>
    </row>
    <row r="471" spans="24:76">
      <c r="X471" s="21"/>
      <c r="BX471"/>
    </row>
    <row r="472" spans="24:76">
      <c r="X472" s="21"/>
      <c r="BX472"/>
    </row>
    <row r="473" spans="24:76">
      <c r="X473" s="21"/>
      <c r="BX473"/>
    </row>
    <row r="474" spans="24:76">
      <c r="X474" s="21"/>
      <c r="BX474"/>
    </row>
    <row r="475" spans="24:76">
      <c r="X475" s="21"/>
      <c r="BX475"/>
    </row>
    <row r="476" spans="24:76">
      <c r="X476" s="21"/>
      <c r="BX476"/>
    </row>
    <row r="477" spans="24:76">
      <c r="X477" s="21"/>
      <c r="BX477"/>
    </row>
    <row r="478" spans="24:76">
      <c r="X478" s="21"/>
      <c r="BX478"/>
    </row>
    <row r="479" spans="24:76">
      <c r="X479" s="21"/>
      <c r="BX479"/>
    </row>
    <row r="480" spans="24:76">
      <c r="X480" s="21"/>
      <c r="BX480"/>
    </row>
    <row r="481" spans="24:76">
      <c r="X481" s="21"/>
      <c r="BX481"/>
    </row>
    <row r="482" spans="24:76">
      <c r="X482" s="21"/>
      <c r="BX482"/>
    </row>
    <row r="483" spans="24:76">
      <c r="X483" s="21"/>
      <c r="BX483"/>
    </row>
    <row r="484" spans="24:76">
      <c r="X484" s="21"/>
      <c r="BX484"/>
    </row>
    <row r="485" spans="24:76">
      <c r="X485" s="21"/>
      <c r="BX485"/>
    </row>
    <row r="486" spans="24:76">
      <c r="X486" s="21"/>
      <c r="BX486"/>
    </row>
    <row r="487" spans="24:76">
      <c r="X487" s="21"/>
      <c r="BX487"/>
    </row>
    <row r="488" spans="24:76">
      <c r="X488" s="21"/>
      <c r="BX488"/>
    </row>
    <row r="489" spans="24:76">
      <c r="X489" s="21"/>
      <c r="BX489"/>
    </row>
    <row r="490" spans="24:76">
      <c r="X490" s="21"/>
      <c r="BX490"/>
    </row>
    <row r="491" spans="24:76">
      <c r="X491" s="21"/>
      <c r="BX491"/>
    </row>
    <row r="492" spans="24:76">
      <c r="X492" s="21"/>
      <c r="BX492"/>
    </row>
    <row r="493" spans="24:76">
      <c r="X493" s="21"/>
      <c r="BX493"/>
    </row>
    <row r="494" spans="24:76">
      <c r="X494" s="21"/>
      <c r="BX494"/>
    </row>
    <row r="495" spans="24:76">
      <c r="X495" s="21"/>
      <c r="BX495"/>
    </row>
    <row r="496" spans="24:76">
      <c r="X496" s="21"/>
      <c r="BX496"/>
    </row>
    <row r="497" spans="24:76">
      <c r="X497" s="21"/>
      <c r="BX497"/>
    </row>
    <row r="498" spans="24:76">
      <c r="X498" s="21"/>
      <c r="BX498"/>
    </row>
    <row r="499" spans="24:76">
      <c r="X499" s="21"/>
      <c r="BX499"/>
    </row>
    <row r="500" spans="24:76">
      <c r="X500" s="21"/>
      <c r="BX500"/>
    </row>
    <row r="501" spans="24:76">
      <c r="X501" s="21"/>
      <c r="BX501"/>
    </row>
    <row r="502" spans="24:76">
      <c r="X502" s="21"/>
      <c r="BX502"/>
    </row>
    <row r="503" spans="24:76">
      <c r="X503" s="21"/>
      <c r="BX503"/>
    </row>
    <row r="504" spans="24:76">
      <c r="X504" s="21"/>
      <c r="BX504"/>
    </row>
    <row r="505" spans="24:76">
      <c r="X505" s="21"/>
      <c r="BX505"/>
    </row>
    <row r="506" spans="24:76">
      <c r="X506" s="21"/>
      <c r="BX506"/>
    </row>
    <row r="507" spans="24:76">
      <c r="X507" s="21"/>
      <c r="BX507"/>
    </row>
    <row r="508" spans="24:76">
      <c r="X508" s="21"/>
      <c r="BX508"/>
    </row>
    <row r="509" spans="24:76">
      <c r="X509" s="21"/>
      <c r="BX509"/>
    </row>
    <row r="510" spans="24:76">
      <c r="X510" s="21"/>
      <c r="BX510"/>
    </row>
    <row r="511" spans="24:76">
      <c r="X511" s="21"/>
      <c r="BX511"/>
    </row>
    <row r="512" spans="24:76">
      <c r="X512" s="21"/>
      <c r="BX512"/>
    </row>
    <row r="513" spans="24:76">
      <c r="X513" s="21"/>
      <c r="BX513"/>
    </row>
    <row r="514" spans="24:76">
      <c r="X514" s="21"/>
      <c r="BX514"/>
    </row>
    <row r="515" spans="24:76">
      <c r="X515" s="21"/>
      <c r="BX515"/>
    </row>
    <row r="516" spans="24:76">
      <c r="X516" s="21"/>
      <c r="BX516"/>
    </row>
    <row r="517" spans="24:76">
      <c r="X517" s="21"/>
      <c r="BX517"/>
    </row>
    <row r="518" spans="24:76">
      <c r="X518" s="21"/>
      <c r="BX518"/>
    </row>
    <row r="519" spans="24:76">
      <c r="X519" s="21"/>
      <c r="BX519"/>
    </row>
    <row r="520" spans="24:76">
      <c r="X520" s="21"/>
      <c r="BX520"/>
    </row>
    <row r="521" spans="24:76">
      <c r="X521" s="21"/>
      <c r="BX521"/>
    </row>
    <row r="522" spans="24:76">
      <c r="X522" s="21"/>
      <c r="BX522"/>
    </row>
    <row r="523" spans="24:76">
      <c r="X523" s="21"/>
      <c r="BX523"/>
    </row>
    <row r="524" spans="24:76">
      <c r="X524" s="21"/>
      <c r="BX524"/>
    </row>
    <row r="525" spans="24:76">
      <c r="X525" s="21"/>
      <c r="BX525"/>
    </row>
    <row r="526" spans="24:76">
      <c r="X526" s="21"/>
      <c r="BX526"/>
    </row>
    <row r="527" spans="24:76">
      <c r="X527" s="21"/>
      <c r="BX527"/>
    </row>
    <row r="528" spans="24:76">
      <c r="X528" s="21"/>
      <c r="BX528"/>
    </row>
    <row r="529" spans="24:76">
      <c r="X529" s="21"/>
      <c r="BX529"/>
    </row>
    <row r="530" spans="24:76">
      <c r="X530" s="21"/>
      <c r="BX530"/>
    </row>
    <row r="531" spans="24:76">
      <c r="X531" s="21"/>
      <c r="BX531"/>
    </row>
    <row r="532" spans="24:76">
      <c r="X532" s="21"/>
      <c r="BX532"/>
    </row>
    <row r="533" spans="24:76">
      <c r="X533" s="21"/>
      <c r="BX533"/>
    </row>
    <row r="534" spans="24:76">
      <c r="X534" s="21"/>
      <c r="BX534"/>
    </row>
    <row r="535" spans="24:76">
      <c r="X535" s="21"/>
      <c r="BX535"/>
    </row>
    <row r="536" spans="24:76">
      <c r="X536" s="21"/>
      <c r="BX536"/>
    </row>
    <row r="537" spans="24:76">
      <c r="X537" s="21"/>
      <c r="BX537"/>
    </row>
    <row r="538" spans="24:76">
      <c r="X538" s="21"/>
      <c r="BX538"/>
    </row>
    <row r="539" spans="24:76">
      <c r="X539" s="21"/>
      <c r="BX539"/>
    </row>
    <row r="540" spans="24:76">
      <c r="X540" s="21"/>
      <c r="BX540"/>
    </row>
    <row r="541" spans="24:76">
      <c r="X541" s="21"/>
      <c r="BX541"/>
    </row>
    <row r="542" spans="24:76">
      <c r="X542" s="21"/>
      <c r="BX542"/>
    </row>
    <row r="543" spans="24:76">
      <c r="X543" s="21"/>
      <c r="BX543"/>
    </row>
    <row r="544" spans="24:76">
      <c r="X544" s="21"/>
      <c r="BX544"/>
    </row>
    <row r="545" spans="24:76">
      <c r="X545" s="21"/>
      <c r="BX545"/>
    </row>
    <row r="546" spans="24:76">
      <c r="X546" s="21"/>
      <c r="BX546"/>
    </row>
    <row r="547" spans="24:76">
      <c r="X547" s="21"/>
      <c r="BX547"/>
    </row>
    <row r="548" spans="24:76">
      <c r="X548" s="21"/>
      <c r="BX548"/>
    </row>
    <row r="549" spans="24:76">
      <c r="X549" s="21"/>
      <c r="BX549"/>
    </row>
    <row r="550" spans="24:76">
      <c r="X550" s="21"/>
      <c r="BX550"/>
    </row>
    <row r="551" spans="24:76">
      <c r="X551" s="21"/>
      <c r="BX551"/>
    </row>
    <row r="552" spans="24:76">
      <c r="X552" s="21"/>
      <c r="BX552"/>
    </row>
    <row r="553" spans="24:76">
      <c r="X553" s="21"/>
      <c r="BX553"/>
    </row>
    <row r="554" spans="24:76">
      <c r="X554" s="21"/>
      <c r="BX554"/>
    </row>
    <row r="555" spans="24:76">
      <c r="X555" s="21"/>
      <c r="BX555"/>
    </row>
    <row r="556" spans="24:76">
      <c r="X556" s="21"/>
      <c r="BX556"/>
    </row>
    <row r="557" spans="24:76">
      <c r="X557" s="21"/>
      <c r="BX557"/>
    </row>
    <row r="558" spans="24:76">
      <c r="X558" s="21"/>
      <c r="BX558"/>
    </row>
    <row r="559" spans="24:76">
      <c r="X559" s="21"/>
      <c r="BX559"/>
    </row>
    <row r="560" spans="24:76">
      <c r="X560" s="21"/>
      <c r="BX560"/>
    </row>
    <row r="561" spans="24:76">
      <c r="X561" s="21"/>
      <c r="BX561"/>
    </row>
    <row r="562" spans="24:76">
      <c r="X562" s="21"/>
      <c r="BX562"/>
    </row>
    <row r="563" spans="24:76">
      <c r="X563" s="21"/>
      <c r="BX563"/>
    </row>
    <row r="564" spans="24:76">
      <c r="X564" s="21"/>
      <c r="BX564"/>
    </row>
    <row r="565" spans="24:76">
      <c r="X565" s="21"/>
      <c r="BX565"/>
    </row>
    <row r="566" spans="24:76">
      <c r="X566" s="21"/>
      <c r="BX566"/>
    </row>
    <row r="567" spans="24:76">
      <c r="X567" s="21"/>
      <c r="BX567"/>
    </row>
    <row r="568" spans="24:76">
      <c r="X568" s="21"/>
      <c r="BX568"/>
    </row>
    <row r="569" spans="24:76">
      <c r="X569" s="21"/>
      <c r="BX569"/>
    </row>
    <row r="570" spans="24:76">
      <c r="X570" s="21"/>
      <c r="BX570"/>
    </row>
    <row r="571" spans="24:76">
      <c r="X571" s="21"/>
      <c r="BX571"/>
    </row>
    <row r="572" spans="24:76">
      <c r="X572" s="21"/>
      <c r="BX572"/>
    </row>
    <row r="573" spans="24:76">
      <c r="X573" s="21"/>
      <c r="BX573"/>
    </row>
    <row r="574" spans="24:76">
      <c r="X574" s="21"/>
      <c r="BX574"/>
    </row>
    <row r="575" spans="24:76">
      <c r="X575" s="21"/>
      <c r="BX575"/>
    </row>
    <row r="576" spans="24:76">
      <c r="X576" s="21"/>
      <c r="BX576"/>
    </row>
    <row r="577" spans="24:76">
      <c r="X577" s="21"/>
      <c r="BX577"/>
    </row>
    <row r="578" spans="24:76">
      <c r="X578" s="21"/>
      <c r="BX578"/>
    </row>
    <row r="579" spans="24:76">
      <c r="X579" s="21"/>
      <c r="BX579"/>
    </row>
    <row r="580" spans="24:76">
      <c r="X580" s="21"/>
      <c r="BX580"/>
    </row>
    <row r="581" spans="24:76">
      <c r="X581" s="21"/>
      <c r="BX581"/>
    </row>
    <row r="582" spans="24:76">
      <c r="X582" s="21"/>
      <c r="BX582"/>
    </row>
    <row r="583" spans="24:76">
      <c r="X583" s="21"/>
      <c r="BX583"/>
    </row>
    <row r="584" spans="24:76">
      <c r="X584" s="21"/>
      <c r="BX584"/>
    </row>
    <row r="585" spans="24:76">
      <c r="X585" s="21"/>
      <c r="BX585"/>
    </row>
    <row r="586" spans="24:76">
      <c r="X586" s="21"/>
      <c r="BX586"/>
    </row>
    <row r="587" spans="24:76">
      <c r="X587" s="21"/>
      <c r="BX587"/>
    </row>
    <row r="588" spans="24:76">
      <c r="X588" s="21"/>
      <c r="BX588"/>
    </row>
    <row r="589" spans="24:76">
      <c r="X589" s="21"/>
      <c r="BX589"/>
    </row>
    <row r="590" spans="24:76">
      <c r="X590" s="21"/>
      <c r="BX590"/>
    </row>
    <row r="591" spans="24:76">
      <c r="X591" s="21"/>
      <c r="BX591"/>
    </row>
    <row r="592" spans="24:76">
      <c r="X592" s="21"/>
      <c r="BX592"/>
    </row>
    <row r="593" spans="24:76">
      <c r="X593" s="21"/>
      <c r="BX593"/>
    </row>
    <row r="594" spans="24:76">
      <c r="X594" s="21"/>
      <c r="BX594"/>
    </row>
    <row r="595" spans="24:76">
      <c r="X595" s="21"/>
      <c r="BX595"/>
    </row>
    <row r="596" spans="24:76">
      <c r="X596" s="21"/>
      <c r="BX596"/>
    </row>
    <row r="597" spans="24:76">
      <c r="X597" s="21"/>
      <c r="BX597"/>
    </row>
    <row r="598" spans="24:76">
      <c r="X598" s="21"/>
      <c r="BX598"/>
    </row>
    <row r="599" spans="24:76">
      <c r="X599" s="21"/>
      <c r="BX599"/>
    </row>
    <row r="600" spans="24:76">
      <c r="X600" s="21"/>
      <c r="BX600"/>
    </row>
    <row r="601" spans="24:76">
      <c r="X601" s="21"/>
      <c r="BX601"/>
    </row>
    <row r="602" spans="24:76">
      <c r="X602" s="21"/>
      <c r="BX602"/>
    </row>
    <row r="603" spans="24:76">
      <c r="X603" s="21"/>
      <c r="BX603"/>
    </row>
    <row r="604" spans="24:76">
      <c r="X604" s="21"/>
      <c r="BX604"/>
    </row>
    <row r="605" spans="24:76">
      <c r="X605" s="21"/>
      <c r="BX605"/>
    </row>
    <row r="606" spans="24:76">
      <c r="X606" s="21"/>
      <c r="BX606"/>
    </row>
    <row r="607" spans="24:76">
      <c r="X607" s="21"/>
      <c r="BX607"/>
    </row>
    <row r="608" spans="24:76">
      <c r="X608" s="21"/>
      <c r="BX608"/>
    </row>
    <row r="609" spans="24:76">
      <c r="X609" s="21"/>
      <c r="BX609"/>
    </row>
    <row r="610" spans="24:76">
      <c r="X610" s="21"/>
      <c r="BX610"/>
    </row>
    <row r="611" spans="24:76">
      <c r="X611" s="21"/>
      <c r="BX611"/>
    </row>
    <row r="612" spans="24:76">
      <c r="X612" s="21"/>
      <c r="BX612"/>
    </row>
    <row r="613" spans="24:76">
      <c r="X613" s="21"/>
      <c r="BX613"/>
    </row>
    <row r="614" spans="24:76">
      <c r="X614" s="21"/>
      <c r="BX614"/>
    </row>
    <row r="615" spans="24:76">
      <c r="X615" s="21"/>
      <c r="BX615"/>
    </row>
    <row r="616" spans="24:76">
      <c r="X616" s="21"/>
      <c r="BX616"/>
    </row>
    <row r="617" spans="24:76">
      <c r="X617" s="21"/>
      <c r="BX617"/>
    </row>
    <row r="618" spans="24:76">
      <c r="X618" s="21"/>
      <c r="BX618"/>
    </row>
    <row r="619" spans="24:76">
      <c r="X619" s="21"/>
      <c r="BX619"/>
    </row>
    <row r="620" spans="24:76">
      <c r="X620" s="21"/>
      <c r="BX620"/>
    </row>
    <row r="621" spans="24:76">
      <c r="X621" s="21"/>
      <c r="BX621"/>
    </row>
    <row r="622" spans="24:76">
      <c r="X622" s="21"/>
      <c r="BX622"/>
    </row>
    <row r="623" spans="24:76">
      <c r="X623" s="21"/>
      <c r="BX623"/>
    </row>
    <row r="624" spans="24:76">
      <c r="X624" s="21"/>
      <c r="BX624"/>
    </row>
    <row r="625" spans="24:76">
      <c r="X625" s="21"/>
      <c r="BX625"/>
    </row>
    <row r="626" spans="24:76">
      <c r="X626" s="21"/>
      <c r="BX626"/>
    </row>
    <row r="627" spans="24:76">
      <c r="X627" s="21"/>
      <c r="BX627"/>
    </row>
    <row r="628" spans="24:76">
      <c r="X628" s="21"/>
      <c r="BX628"/>
    </row>
    <row r="629" spans="24:76">
      <c r="X629" s="21"/>
      <c r="BX629"/>
    </row>
    <row r="630" spans="24:76">
      <c r="X630" s="21"/>
      <c r="BX630"/>
    </row>
    <row r="631" spans="24:76">
      <c r="X631" s="21"/>
      <c r="BX631"/>
    </row>
    <row r="632" spans="24:76">
      <c r="X632" s="21"/>
      <c r="BX632"/>
    </row>
    <row r="633" spans="24:76">
      <c r="X633" s="21"/>
      <c r="BX633"/>
    </row>
    <row r="634" spans="24:76">
      <c r="X634" s="21"/>
      <c r="BX634"/>
    </row>
    <row r="635" spans="24:76">
      <c r="X635" s="21"/>
      <c r="BX635"/>
    </row>
    <row r="636" spans="24:76">
      <c r="X636" s="21"/>
      <c r="BX636"/>
    </row>
    <row r="637" spans="24:76">
      <c r="X637" s="21"/>
      <c r="BX637"/>
    </row>
    <row r="638" spans="24:76">
      <c r="X638" s="21"/>
      <c r="BX638"/>
    </row>
    <row r="639" spans="24:76">
      <c r="X639" s="21"/>
      <c r="BX639"/>
    </row>
    <row r="640" spans="24:76">
      <c r="X640" s="21"/>
      <c r="BX640"/>
    </row>
    <row r="641" spans="24:76">
      <c r="X641" s="21"/>
      <c r="BX641"/>
    </row>
    <row r="642" spans="24:76">
      <c r="X642" s="21"/>
      <c r="BX642"/>
    </row>
    <row r="643" spans="24:76">
      <c r="X643" s="21"/>
      <c r="BX643"/>
    </row>
    <row r="644" spans="24:76">
      <c r="X644" s="21"/>
      <c r="BX644"/>
    </row>
    <row r="645" spans="24:76">
      <c r="X645" s="21"/>
      <c r="BX645"/>
    </row>
    <row r="646" spans="24:76">
      <c r="X646" s="21"/>
      <c r="BX646"/>
    </row>
    <row r="647" spans="24:76">
      <c r="X647" s="21"/>
      <c r="BX647"/>
    </row>
    <row r="648" spans="24:76">
      <c r="X648" s="21"/>
      <c r="BX648"/>
    </row>
    <row r="649" spans="24:76">
      <c r="X649" s="21"/>
      <c r="BX649"/>
    </row>
    <row r="650" spans="24:76">
      <c r="X650" s="21"/>
      <c r="BX650"/>
    </row>
    <row r="651" spans="24:76">
      <c r="X651" s="21"/>
      <c r="BX651"/>
    </row>
    <row r="652" spans="24:76">
      <c r="X652" s="21"/>
      <c r="BX652"/>
    </row>
    <row r="653" spans="24:76">
      <c r="X653" s="21"/>
      <c r="BX653"/>
    </row>
    <row r="654" spans="24:76">
      <c r="X654" s="21"/>
      <c r="BX654"/>
    </row>
    <row r="655" spans="24:76">
      <c r="X655" s="21"/>
      <c r="BX655"/>
    </row>
    <row r="656" spans="24:76">
      <c r="X656" s="21"/>
      <c r="BX656"/>
    </row>
    <row r="657" spans="24:76">
      <c r="X657" s="21"/>
      <c r="BX657"/>
    </row>
    <row r="658" spans="24:76">
      <c r="X658" s="21"/>
      <c r="BX658"/>
    </row>
    <row r="659" spans="24:76">
      <c r="X659" s="21"/>
      <c r="BX659"/>
    </row>
    <row r="660" spans="24:76">
      <c r="X660" s="21"/>
      <c r="BX660"/>
    </row>
    <row r="661" spans="24:76">
      <c r="X661" s="21"/>
      <c r="BX661"/>
    </row>
    <row r="662" spans="24:76">
      <c r="X662" s="21"/>
      <c r="BX662"/>
    </row>
    <row r="663" spans="24:76">
      <c r="X663" s="21"/>
      <c r="BX663"/>
    </row>
    <row r="664" spans="24:76">
      <c r="X664" s="21"/>
      <c r="BX664"/>
    </row>
    <row r="665" spans="24:76">
      <c r="X665" s="21"/>
      <c r="BX665"/>
    </row>
    <row r="666" spans="24:76">
      <c r="X666" s="21"/>
      <c r="BX666"/>
    </row>
    <row r="667" spans="24:76">
      <c r="X667" s="21"/>
      <c r="BX667"/>
    </row>
    <row r="668" spans="24:76">
      <c r="X668" s="21"/>
      <c r="BX668"/>
    </row>
    <row r="669" spans="24:76">
      <c r="X669" s="21"/>
      <c r="BX669"/>
    </row>
    <row r="670" spans="24:76">
      <c r="X670" s="21"/>
      <c r="BX670"/>
    </row>
    <row r="671" spans="24:76">
      <c r="X671" s="21"/>
      <c r="BX671"/>
    </row>
    <row r="672" spans="24:76">
      <c r="X672" s="21"/>
      <c r="BX672"/>
    </row>
    <row r="673" spans="24:76">
      <c r="X673" s="21"/>
      <c r="BX673"/>
    </row>
    <row r="674" spans="24:76">
      <c r="X674" s="21"/>
      <c r="BX674"/>
    </row>
    <row r="675" spans="24:76">
      <c r="X675" s="21"/>
      <c r="BX675"/>
    </row>
    <row r="676" spans="24:76">
      <c r="X676" s="21"/>
      <c r="BX676"/>
    </row>
    <row r="677" spans="24:76">
      <c r="X677" s="21"/>
      <c r="BX677"/>
    </row>
    <row r="678" spans="24:76">
      <c r="X678" s="21"/>
      <c r="BX678"/>
    </row>
    <row r="679" spans="24:76">
      <c r="X679" s="21"/>
      <c r="BX679"/>
    </row>
    <row r="680" spans="24:76">
      <c r="X680" s="21"/>
      <c r="BX680"/>
    </row>
    <row r="681" spans="24:76">
      <c r="X681" s="21"/>
      <c r="BX681"/>
    </row>
    <row r="682" spans="24:76">
      <c r="X682" s="21"/>
      <c r="BX682"/>
    </row>
    <row r="683" spans="24:76">
      <c r="X683" s="21"/>
      <c r="BX683"/>
    </row>
    <row r="684" spans="24:76">
      <c r="X684" s="21"/>
      <c r="BX684"/>
    </row>
    <row r="685" spans="24:76">
      <c r="X685" s="21"/>
      <c r="BX685"/>
    </row>
    <row r="686" spans="24:76">
      <c r="X686" s="21"/>
      <c r="BX686"/>
    </row>
    <row r="687" spans="24:76">
      <c r="X687" s="21"/>
      <c r="BX687"/>
    </row>
    <row r="688" spans="24:76">
      <c r="X688" s="21"/>
      <c r="BX688"/>
    </row>
    <row r="689" spans="24:76">
      <c r="X689" s="21"/>
      <c r="BX689"/>
    </row>
    <row r="690" spans="24:76">
      <c r="X690" s="21"/>
      <c r="BX690"/>
    </row>
    <row r="691" spans="24:76">
      <c r="X691" s="21"/>
      <c r="BX691"/>
    </row>
    <row r="692" spans="24:76">
      <c r="X692" s="21"/>
      <c r="BX692"/>
    </row>
    <row r="693" spans="24:76">
      <c r="X693" s="21"/>
      <c r="BX693"/>
    </row>
    <row r="694" spans="24:76">
      <c r="X694" s="21"/>
      <c r="BX694"/>
    </row>
    <row r="695" spans="24:76">
      <c r="X695" s="21"/>
      <c r="BX695"/>
    </row>
    <row r="696" spans="24:76">
      <c r="X696" s="21"/>
      <c r="BX696"/>
    </row>
    <row r="697" spans="24:76">
      <c r="X697" s="21"/>
      <c r="BX697"/>
    </row>
    <row r="698" spans="24:76">
      <c r="X698" s="21"/>
      <c r="BX698"/>
    </row>
    <row r="699" spans="24:76">
      <c r="X699" s="21"/>
      <c r="BX699"/>
    </row>
    <row r="700" spans="24:76">
      <c r="X700" s="21"/>
      <c r="BX700"/>
    </row>
    <row r="701" spans="24:76">
      <c r="X701" s="21"/>
      <c r="BX701"/>
    </row>
    <row r="702" spans="24:76">
      <c r="X702" s="21"/>
      <c r="BX702"/>
    </row>
    <row r="703" spans="24:76">
      <c r="X703" s="21"/>
      <c r="BX703"/>
    </row>
    <row r="704" spans="24:76">
      <c r="X704" s="21"/>
      <c r="BX704"/>
    </row>
    <row r="705" spans="24:76">
      <c r="X705" s="21"/>
      <c r="BX705"/>
    </row>
    <row r="706" spans="24:76">
      <c r="X706" s="21"/>
      <c r="BX706"/>
    </row>
    <row r="707" spans="24:76">
      <c r="X707" s="21"/>
      <c r="BX707"/>
    </row>
    <row r="708" spans="24:76">
      <c r="X708" s="21"/>
      <c r="BX708"/>
    </row>
    <row r="709" spans="24:76">
      <c r="X709" s="21"/>
      <c r="BX709"/>
    </row>
    <row r="710" spans="24:76">
      <c r="X710" s="21"/>
      <c r="BX710"/>
    </row>
    <row r="711" spans="24:76">
      <c r="X711" s="21"/>
      <c r="BX711"/>
    </row>
    <row r="712" spans="24:76">
      <c r="X712" s="21"/>
      <c r="BX712"/>
    </row>
    <row r="713" spans="24:76">
      <c r="X713" s="21"/>
      <c r="BX713"/>
    </row>
    <row r="714" spans="24:76">
      <c r="X714" s="21"/>
      <c r="BX714"/>
    </row>
    <row r="715" spans="24:76">
      <c r="X715" s="21"/>
      <c r="BX715"/>
    </row>
    <row r="716" spans="24:76">
      <c r="X716" s="21"/>
      <c r="BX716"/>
    </row>
    <row r="717" spans="24:76">
      <c r="X717" s="21"/>
      <c r="BX717"/>
    </row>
    <row r="718" spans="24:76">
      <c r="X718" s="21"/>
      <c r="BX718"/>
    </row>
    <row r="719" spans="24:76">
      <c r="X719" s="21"/>
      <c r="BX719"/>
    </row>
    <row r="720" spans="24:76">
      <c r="X720" s="21"/>
      <c r="BX720"/>
    </row>
    <row r="721" spans="24:76">
      <c r="X721" s="21"/>
      <c r="BX721"/>
    </row>
    <row r="722" spans="24:76">
      <c r="X722" s="21"/>
      <c r="BX722"/>
    </row>
    <row r="723" spans="24:76">
      <c r="X723" s="21"/>
      <c r="BX723"/>
    </row>
    <row r="724" spans="24:76">
      <c r="X724" s="21"/>
      <c r="BX724"/>
    </row>
    <row r="725" spans="24:76">
      <c r="X725" s="21"/>
      <c r="BX725"/>
    </row>
    <row r="726" spans="24:76">
      <c r="X726" s="21"/>
      <c r="BX726"/>
    </row>
    <row r="727" spans="24:76">
      <c r="X727" s="21"/>
      <c r="BX727"/>
    </row>
    <row r="728" spans="24:76">
      <c r="X728" s="21"/>
      <c r="BX728"/>
    </row>
    <row r="729" spans="24:76">
      <c r="X729" s="21"/>
      <c r="BX729"/>
    </row>
    <row r="730" spans="24:76">
      <c r="X730" s="21"/>
      <c r="BX730"/>
    </row>
    <row r="731" spans="24:76">
      <c r="X731" s="21"/>
      <c r="BX731"/>
    </row>
    <row r="732" spans="24:76">
      <c r="X732" s="21"/>
      <c r="BX732"/>
    </row>
    <row r="733" spans="24:76">
      <c r="X733" s="21"/>
      <c r="BX733"/>
    </row>
    <row r="734" spans="24:76">
      <c r="X734" s="21"/>
      <c r="BX734"/>
    </row>
    <row r="735" spans="24:76">
      <c r="X735" s="21"/>
      <c r="BX735"/>
    </row>
    <row r="736" spans="24:76">
      <c r="X736" s="21"/>
      <c r="BX736"/>
    </row>
    <row r="737" spans="24:76">
      <c r="X737" s="21"/>
      <c r="BX737"/>
    </row>
    <row r="738" spans="24:76">
      <c r="X738" s="21"/>
      <c r="BX738"/>
    </row>
    <row r="739" spans="24:76">
      <c r="X739" s="21"/>
      <c r="BX739"/>
    </row>
    <row r="740" spans="24:76">
      <c r="X740" s="21"/>
      <c r="BX740"/>
    </row>
    <row r="741" spans="24:76">
      <c r="X741" s="21"/>
      <c r="BX741"/>
    </row>
    <row r="742" spans="24:76">
      <c r="X742" s="21"/>
      <c r="BX742"/>
    </row>
    <row r="743" spans="24:76">
      <c r="X743" s="21"/>
      <c r="BX743"/>
    </row>
    <row r="744" spans="24:76">
      <c r="X744" s="21"/>
      <c r="BX744"/>
    </row>
    <row r="745" spans="24:76">
      <c r="X745" s="21"/>
      <c r="BX745"/>
    </row>
    <row r="746" spans="24:76">
      <c r="X746" s="21"/>
      <c r="BX746"/>
    </row>
    <row r="747" spans="24:76">
      <c r="X747" s="21"/>
      <c r="BX747"/>
    </row>
    <row r="748" spans="24:76">
      <c r="X748" s="21"/>
      <c r="BX748"/>
    </row>
    <row r="749" spans="24:76">
      <c r="X749" s="21"/>
      <c r="BX749"/>
    </row>
    <row r="750" spans="24:76">
      <c r="X750" s="21"/>
      <c r="BX750"/>
    </row>
    <row r="751" spans="24:76">
      <c r="X751" s="21"/>
      <c r="BX751"/>
    </row>
    <row r="752" spans="24:76">
      <c r="X752" s="21"/>
      <c r="BX752"/>
    </row>
    <row r="753" spans="24:76">
      <c r="X753" s="21"/>
      <c r="BX753"/>
    </row>
    <row r="754" spans="24:76">
      <c r="X754" s="21"/>
      <c r="BX754"/>
    </row>
    <row r="755" spans="24:76">
      <c r="X755" s="21"/>
      <c r="BX755"/>
    </row>
    <row r="756" spans="24:76">
      <c r="X756" s="21"/>
      <c r="BX756"/>
    </row>
    <row r="757" spans="24:76">
      <c r="X757" s="21"/>
      <c r="BX757"/>
    </row>
    <row r="758" spans="24:76">
      <c r="X758" s="21"/>
      <c r="BX758"/>
    </row>
    <row r="759" spans="24:76">
      <c r="X759" s="21"/>
      <c r="BX759"/>
    </row>
    <row r="760" spans="24:76">
      <c r="X760" s="21"/>
      <c r="BX760"/>
    </row>
    <row r="761" spans="24:76">
      <c r="X761" s="21"/>
      <c r="BX761"/>
    </row>
    <row r="762" spans="24:76">
      <c r="X762" s="21"/>
      <c r="BX762"/>
    </row>
    <row r="763" spans="24:76">
      <c r="X763" s="21"/>
      <c r="BX763"/>
    </row>
    <row r="764" spans="24:76">
      <c r="X764" s="21"/>
      <c r="BX764"/>
    </row>
    <row r="765" spans="24:76">
      <c r="X765" s="21"/>
      <c r="BX765"/>
    </row>
    <row r="766" spans="24:76">
      <c r="X766" s="21"/>
      <c r="BX766"/>
    </row>
    <row r="767" spans="24:76">
      <c r="X767" s="21"/>
      <c r="BX767"/>
    </row>
    <row r="768" spans="24:76">
      <c r="X768" s="21"/>
      <c r="BX768"/>
    </row>
    <row r="769" spans="24:76">
      <c r="X769" s="21"/>
      <c r="BX769"/>
    </row>
    <row r="770" spans="24:76">
      <c r="X770" s="21"/>
      <c r="BX770"/>
    </row>
    <row r="771" spans="24:76">
      <c r="X771" s="21"/>
      <c r="BX771"/>
    </row>
    <row r="772" spans="24:76">
      <c r="X772" s="21"/>
      <c r="BX772"/>
    </row>
    <row r="773" spans="24:76">
      <c r="X773" s="21"/>
      <c r="BX773"/>
    </row>
    <row r="774" spans="24:76">
      <c r="X774" s="21"/>
      <c r="BX774"/>
    </row>
    <row r="775" spans="24:76">
      <c r="X775" s="21"/>
      <c r="BX775"/>
    </row>
    <row r="776" spans="24:76">
      <c r="X776" s="21"/>
      <c r="BX776"/>
    </row>
    <row r="777" spans="24:76">
      <c r="X777" s="21"/>
      <c r="BX777"/>
    </row>
    <row r="778" spans="24:76">
      <c r="X778" s="21"/>
      <c r="BX778"/>
    </row>
    <row r="779" spans="24:76">
      <c r="X779" s="21"/>
      <c r="BX779"/>
    </row>
    <row r="780" spans="24:76">
      <c r="X780" s="21"/>
      <c r="BX780"/>
    </row>
    <row r="781" spans="24:76">
      <c r="X781" s="21"/>
      <c r="BX781"/>
    </row>
    <row r="782" spans="24:76">
      <c r="X782" s="21"/>
      <c r="BX782"/>
    </row>
    <row r="783" spans="24:76">
      <c r="X783" s="21"/>
      <c r="BX783"/>
    </row>
    <row r="784" spans="24:76">
      <c r="X784" s="21"/>
      <c r="BX784"/>
    </row>
    <row r="785" spans="24:76">
      <c r="X785" s="21"/>
      <c r="BX785"/>
    </row>
    <row r="786" spans="24:76">
      <c r="X786" s="21"/>
      <c r="BX786"/>
    </row>
    <row r="787" spans="24:76">
      <c r="X787" s="21"/>
      <c r="BX787"/>
    </row>
    <row r="788" spans="24:76">
      <c r="X788" s="21"/>
      <c r="BX788"/>
    </row>
    <row r="789" spans="24:76">
      <c r="X789" s="21"/>
      <c r="BX789"/>
    </row>
    <row r="790" spans="24:76">
      <c r="X790" s="21"/>
      <c r="BX790"/>
    </row>
    <row r="791" spans="24:76">
      <c r="X791" s="21"/>
      <c r="BX791"/>
    </row>
    <row r="792" spans="24:76">
      <c r="X792" s="21"/>
      <c r="BX792"/>
    </row>
    <row r="793" spans="24:76">
      <c r="X793" s="21"/>
      <c r="BX793"/>
    </row>
    <row r="794" spans="24:76">
      <c r="X794" s="21"/>
      <c r="BX794"/>
    </row>
    <row r="795" spans="24:76">
      <c r="X795" s="21"/>
      <c r="BX795"/>
    </row>
    <row r="796" spans="24:76">
      <c r="X796" s="21"/>
      <c r="BX796"/>
    </row>
    <row r="797" spans="24:76">
      <c r="X797" s="21"/>
      <c r="BX797"/>
    </row>
    <row r="798" spans="24:76">
      <c r="X798" s="21"/>
      <c r="BX798"/>
    </row>
    <row r="799" spans="24:76">
      <c r="X799" s="21"/>
      <c r="BX799"/>
    </row>
    <row r="800" spans="24:76">
      <c r="X800" s="21"/>
      <c r="BX800"/>
    </row>
    <row r="801" spans="24:76">
      <c r="X801" s="21"/>
      <c r="BX801"/>
    </row>
    <row r="802" spans="24:76">
      <c r="X802" s="21"/>
      <c r="BX802"/>
    </row>
    <row r="803" spans="24:76">
      <c r="X803" s="21"/>
      <c r="BX803"/>
    </row>
    <row r="804" spans="24:76">
      <c r="X804" s="21"/>
      <c r="BX804"/>
    </row>
    <row r="805" spans="24:76">
      <c r="X805" s="21"/>
      <c r="BX805"/>
    </row>
    <row r="806" spans="24:76">
      <c r="X806" s="21"/>
      <c r="BX806"/>
    </row>
    <row r="807" spans="24:76">
      <c r="X807" s="21"/>
      <c r="BX807"/>
    </row>
    <row r="808" spans="24:76">
      <c r="X808" s="21"/>
      <c r="BX808"/>
    </row>
    <row r="809" spans="24:76">
      <c r="X809" s="21"/>
      <c r="BX809"/>
    </row>
    <row r="810" spans="24:76">
      <c r="X810" s="21"/>
      <c r="BX810"/>
    </row>
    <row r="811" spans="24:76">
      <c r="X811" s="21"/>
      <c r="BX811"/>
    </row>
    <row r="812" spans="24:76">
      <c r="X812" s="21"/>
      <c r="BX812"/>
    </row>
    <row r="813" spans="24:76">
      <c r="X813" s="21"/>
      <c r="BX813"/>
    </row>
    <row r="814" spans="24:76">
      <c r="X814" s="21"/>
      <c r="BX814"/>
    </row>
    <row r="815" spans="24:76">
      <c r="X815" s="21"/>
      <c r="BX815"/>
    </row>
    <row r="816" spans="24:76">
      <c r="X816" s="21"/>
      <c r="BX816"/>
    </row>
    <row r="817" spans="24:76">
      <c r="X817" s="21"/>
      <c r="BX817"/>
    </row>
    <row r="818" spans="24:76">
      <c r="X818" s="21"/>
      <c r="BX818"/>
    </row>
    <row r="819" spans="24:76">
      <c r="X819" s="21"/>
      <c r="BX819"/>
    </row>
    <row r="820" spans="24:76">
      <c r="X820" s="21"/>
      <c r="BX820"/>
    </row>
    <row r="821" spans="24:76">
      <c r="X821" s="21"/>
      <c r="BX821"/>
    </row>
    <row r="822" spans="24:76">
      <c r="X822" s="21"/>
      <c r="BX822"/>
    </row>
    <row r="823" spans="24:76">
      <c r="X823" s="21"/>
      <c r="BX823"/>
    </row>
    <row r="824" spans="24:76">
      <c r="X824" s="21"/>
      <c r="BX824"/>
    </row>
    <row r="825" spans="24:76">
      <c r="X825" s="21"/>
      <c r="BX825"/>
    </row>
    <row r="826" spans="24:76">
      <c r="X826" s="21"/>
      <c r="BX826"/>
    </row>
    <row r="827" spans="24:76">
      <c r="X827" s="21"/>
      <c r="BX827"/>
    </row>
    <row r="828" spans="24:76">
      <c r="X828" s="21"/>
      <c r="BX828"/>
    </row>
    <row r="829" spans="24:76">
      <c r="X829" s="21"/>
      <c r="BX829"/>
    </row>
    <row r="830" spans="24:76">
      <c r="X830" s="21"/>
      <c r="BX830"/>
    </row>
    <row r="831" spans="24:76">
      <c r="X831" s="21"/>
      <c r="BX831"/>
    </row>
    <row r="832" spans="24:76">
      <c r="X832" s="21"/>
      <c r="BX832"/>
    </row>
    <row r="833" spans="24:76">
      <c r="X833" s="21"/>
      <c r="BX833"/>
    </row>
    <row r="834" spans="24:76">
      <c r="X834" s="21"/>
      <c r="BX834"/>
    </row>
    <row r="835" spans="24:76">
      <c r="X835" s="21"/>
      <c r="BX835"/>
    </row>
    <row r="836" spans="24:76">
      <c r="X836" s="21"/>
      <c r="BX836"/>
    </row>
    <row r="837" spans="24:76">
      <c r="X837" s="21"/>
      <c r="BX837"/>
    </row>
    <row r="838" spans="24:76">
      <c r="X838" s="21"/>
      <c r="BX838"/>
    </row>
    <row r="839" spans="24:76">
      <c r="X839" s="21"/>
      <c r="BX839"/>
    </row>
    <row r="840" spans="24:76">
      <c r="X840" s="21"/>
      <c r="BX840"/>
    </row>
    <row r="841" spans="24:76">
      <c r="X841" s="21"/>
      <c r="BX841"/>
    </row>
    <row r="842" spans="24:76">
      <c r="X842" s="21"/>
      <c r="BX842"/>
    </row>
    <row r="843" spans="24:76">
      <c r="X843" s="21"/>
      <c r="BX843"/>
    </row>
    <row r="844" spans="24:76">
      <c r="X844" s="21"/>
      <c r="BX844"/>
    </row>
    <row r="845" spans="24:76">
      <c r="X845" s="21"/>
      <c r="BX845"/>
    </row>
    <row r="846" spans="24:76">
      <c r="X846" s="21"/>
      <c r="BX846"/>
    </row>
    <row r="847" spans="24:76">
      <c r="X847" s="21"/>
      <c r="BX847"/>
    </row>
    <row r="848" spans="24:76">
      <c r="X848" s="21"/>
      <c r="BX848"/>
    </row>
    <row r="849" spans="24:76">
      <c r="X849" s="21"/>
      <c r="BX849"/>
    </row>
    <row r="850" spans="24:76">
      <c r="X850" s="21"/>
      <c r="BX850"/>
    </row>
    <row r="851" spans="24:76">
      <c r="X851" s="21"/>
      <c r="BX851"/>
    </row>
    <row r="852" spans="24:76">
      <c r="X852" s="21"/>
      <c r="BX852"/>
    </row>
    <row r="853" spans="24:76">
      <c r="X853" s="21"/>
      <c r="BX853"/>
    </row>
    <row r="854" spans="24:76">
      <c r="X854" s="21"/>
      <c r="BX854"/>
    </row>
    <row r="855" spans="24:76">
      <c r="X855" s="21"/>
      <c r="BX855"/>
    </row>
    <row r="856" spans="24:76">
      <c r="X856" s="21"/>
      <c r="BX856"/>
    </row>
    <row r="857" spans="24:76">
      <c r="X857" s="21"/>
      <c r="BX857"/>
    </row>
    <row r="858" spans="24:76">
      <c r="X858" s="21"/>
      <c r="BX858"/>
    </row>
    <row r="859" spans="24:76">
      <c r="X859" s="21"/>
      <c r="BX859"/>
    </row>
    <row r="860" spans="24:76">
      <c r="X860" s="21"/>
      <c r="BX860"/>
    </row>
    <row r="861" spans="24:76">
      <c r="X861" s="21"/>
      <c r="BX861"/>
    </row>
    <row r="862" spans="24:76">
      <c r="X862" s="21"/>
      <c r="BX862"/>
    </row>
    <row r="863" spans="24:76">
      <c r="X863" s="21"/>
      <c r="BX863"/>
    </row>
    <row r="864" spans="24:76">
      <c r="X864" s="21"/>
      <c r="BX864"/>
    </row>
    <row r="865" spans="24:76">
      <c r="X865" s="21"/>
      <c r="BX865"/>
    </row>
    <row r="866" spans="24:76">
      <c r="X866" s="21"/>
      <c r="BX866"/>
    </row>
    <row r="867" spans="24:76">
      <c r="X867" s="21"/>
      <c r="BX867"/>
    </row>
    <row r="868" spans="24:76">
      <c r="X868" s="21"/>
      <c r="BX868"/>
    </row>
    <row r="869" spans="24:76">
      <c r="X869" s="21"/>
      <c r="BX869"/>
    </row>
    <row r="870" spans="24:76">
      <c r="X870" s="21"/>
      <c r="BX870"/>
    </row>
    <row r="871" spans="24:76">
      <c r="X871" s="21"/>
      <c r="BX871"/>
    </row>
    <row r="872" spans="24:76">
      <c r="X872" s="21"/>
      <c r="BX872"/>
    </row>
    <row r="873" spans="24:76">
      <c r="X873" s="21"/>
      <c r="BX873"/>
    </row>
    <row r="874" spans="24:76">
      <c r="X874" s="21"/>
      <c r="BX874"/>
    </row>
    <row r="875" spans="24:76">
      <c r="X875" s="21"/>
      <c r="BX875"/>
    </row>
    <row r="876" spans="24:76">
      <c r="X876" s="21"/>
      <c r="BX876"/>
    </row>
    <row r="877" spans="24:76">
      <c r="X877" s="21"/>
      <c r="BX877"/>
    </row>
    <row r="878" spans="24:76">
      <c r="X878" s="21"/>
      <c r="BX878"/>
    </row>
    <row r="879" spans="24:76">
      <c r="X879" s="21"/>
      <c r="BX879"/>
    </row>
    <row r="880" spans="24:76">
      <c r="X880" s="21"/>
      <c r="BX880"/>
    </row>
    <row r="881" spans="24:76">
      <c r="X881" s="21"/>
      <c r="BX881"/>
    </row>
    <row r="882" spans="24:76">
      <c r="X882" s="21"/>
      <c r="BX882"/>
    </row>
    <row r="883" spans="24:76">
      <c r="X883" s="21"/>
      <c r="BX883"/>
    </row>
    <row r="884" spans="24:76">
      <c r="X884" s="21"/>
      <c r="BX884"/>
    </row>
    <row r="885" spans="24:76">
      <c r="X885" s="21"/>
      <c r="BX885"/>
    </row>
    <row r="886" spans="24:76">
      <c r="X886" s="21"/>
      <c r="BX886"/>
    </row>
    <row r="887" spans="24:76">
      <c r="X887" s="21"/>
      <c r="BX887"/>
    </row>
    <row r="888" spans="24:76">
      <c r="X888" s="21"/>
      <c r="BX888"/>
    </row>
    <row r="889" spans="24:76">
      <c r="X889" s="21"/>
      <c r="BX889"/>
    </row>
    <row r="890" spans="24:76">
      <c r="X890" s="21"/>
      <c r="BX890"/>
    </row>
    <row r="891" spans="24:76">
      <c r="X891" s="21"/>
      <c r="BX891"/>
    </row>
    <row r="892" spans="24:76">
      <c r="X892" s="21"/>
      <c r="BX892"/>
    </row>
    <row r="893" spans="24:76">
      <c r="X893" s="21"/>
      <c r="BX893"/>
    </row>
    <row r="894" spans="24:76">
      <c r="X894" s="21"/>
      <c r="BX894"/>
    </row>
    <row r="895" spans="24:76">
      <c r="X895" s="21"/>
      <c r="BX895"/>
    </row>
    <row r="896" spans="24:76">
      <c r="X896" s="21"/>
      <c r="BX896"/>
    </row>
    <row r="897" spans="24:76">
      <c r="X897" s="21"/>
      <c r="BX897"/>
    </row>
    <row r="898" spans="24:76">
      <c r="X898" s="21"/>
      <c r="BX898"/>
    </row>
    <row r="899" spans="24:76">
      <c r="X899" s="21"/>
      <c r="BX899"/>
    </row>
    <row r="900" spans="24:76">
      <c r="X900" s="21"/>
      <c r="BX900"/>
    </row>
  </sheetData>
  <sheetProtection sheet="1" objects="1" scenarios="1"/>
  <mergeCells count="12">
    <mergeCell ref="Z18:Z19"/>
    <mergeCell ref="AA18:AA19"/>
    <mergeCell ref="Z21:Z22"/>
    <mergeCell ref="AA21:AA22"/>
    <mergeCell ref="Z24:Z25"/>
    <mergeCell ref="AA24:AA25"/>
    <mergeCell ref="B2:B3"/>
    <mergeCell ref="BB3:BC4"/>
    <mergeCell ref="BD3:BD4"/>
    <mergeCell ref="B14:C15"/>
    <mergeCell ref="Z15:Z16"/>
    <mergeCell ref="AA15:AA16"/>
  </mergeCells>
  <pageMargins left="0.7" right="0.7" top="0.75" bottom="0.75" header="0.3" footer="0.3"/>
  <pageSetup orientation="portrait" r:id="rId1"/>
  <drawing r:id="rId2"/>
  <tableParts count="8">
    <tablePart r:id="rId3"/>
    <tablePart r:id="rId4"/>
    <tablePart r:id="rId5"/>
    <tablePart r:id="rId6"/>
    <tablePart r:id="rId7"/>
    <tablePart r:id="rId8"/>
    <tablePart r:id="rId9"/>
    <tablePart r:id="rId10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A1:CO900"/>
  <sheetViews>
    <sheetView showZeros="0" topLeftCell="A4" zoomScaleNormal="100" workbookViewId="0">
      <selection activeCell="C117" sqref="C117"/>
    </sheetView>
  </sheetViews>
  <sheetFormatPr defaultColWidth="8.77734375" defaultRowHeight="14.4"/>
  <cols>
    <col min="1" max="1" width="2.6640625" style="4" customWidth="1"/>
    <col min="2" max="2" width="48.6640625" style="4" customWidth="1"/>
    <col min="3" max="3" width="2.77734375" style="4" customWidth="1"/>
    <col min="4" max="4" width="53.44140625" style="4" customWidth="1"/>
    <col min="5" max="5" width="5.6640625" style="4" customWidth="1"/>
    <col min="6" max="6" width="53.44140625" style="4" customWidth="1"/>
    <col min="7" max="7" width="5.6640625" style="4" customWidth="1"/>
    <col min="8" max="8" width="53.44140625" style="4" customWidth="1"/>
    <col min="9" max="9" width="5.6640625" style="4" customWidth="1"/>
    <col min="10" max="10" width="53.44140625" style="4" customWidth="1"/>
    <col min="11" max="23" width="77.6640625" style="4" customWidth="1"/>
    <col min="24" max="24" width="3.6640625" customWidth="1"/>
    <col min="25" max="25" width="8.6640625" style="4" customWidth="1"/>
    <col min="27" max="27" width="30.6640625" customWidth="1"/>
    <col min="36" max="36" width="30.6640625" customWidth="1"/>
    <col min="43" max="43" width="8.6640625" style="4" customWidth="1"/>
    <col min="44" max="44" width="8.77734375" style="4"/>
    <col min="45" max="45" width="21.6640625" customWidth="1"/>
    <col min="47" max="47" width="9.109375" customWidth="1"/>
    <col min="52" max="53" width="5.6640625" customWidth="1"/>
    <col min="54" max="54" width="21.6640625" customWidth="1"/>
    <col min="55" max="55" width="8.77734375" customWidth="1"/>
    <col min="56" max="60" width="10.6640625" customWidth="1"/>
    <col min="61" max="61" width="36.109375" customWidth="1"/>
    <col min="62" max="63" width="10.6640625" customWidth="1"/>
    <col min="64" max="64" width="10.44140625" customWidth="1"/>
    <col min="65" max="66" width="10.6640625" customWidth="1"/>
    <col min="67" max="67" width="9.77734375" customWidth="1"/>
    <col min="68" max="68" width="31.77734375" customWidth="1"/>
    <col min="69" max="72" width="10.6640625" customWidth="1"/>
    <col min="73" max="73" width="10.44140625" customWidth="1"/>
    <col min="74" max="74" width="5.6640625" customWidth="1"/>
    <col min="76" max="76" width="15.77734375" style="1" customWidth="1"/>
    <col min="77" max="77" width="9.44140625" customWidth="1"/>
    <col min="78" max="78" width="25.33203125" customWidth="1"/>
    <col min="86" max="86" width="9.44140625" customWidth="1"/>
    <col min="87" max="87" width="25.33203125" customWidth="1"/>
  </cols>
  <sheetData>
    <row r="1" spans="1:76" ht="14.25" customHeight="1">
      <c r="B1" s="7"/>
      <c r="C1" s="6"/>
      <c r="D1" s="6"/>
      <c r="E1" s="6"/>
      <c r="F1" s="6"/>
      <c r="I1" s="6"/>
      <c r="K1" s="7"/>
      <c r="L1" s="7"/>
      <c r="M1" s="7"/>
      <c r="N1" s="7"/>
      <c r="O1" s="7"/>
      <c r="P1" s="7"/>
      <c r="Q1" s="7"/>
      <c r="X1" s="21"/>
      <c r="Y1" s="6"/>
      <c r="Z1" s="8" t="s">
        <v>21</v>
      </c>
      <c r="AA1" s="8" t="s">
        <v>20</v>
      </c>
      <c r="AB1" s="8">
        <f>Date_Control!$C$21</f>
        <v>2021</v>
      </c>
      <c r="AC1" s="8">
        <f>Date_Control!$C$20</f>
        <v>2022</v>
      </c>
      <c r="AD1" s="8">
        <f>Date_Control!$C$19</f>
        <v>2023</v>
      </c>
      <c r="AE1" s="8">
        <f>Date_Control!$C$18</f>
        <v>2024</v>
      </c>
      <c r="AF1" s="8">
        <f>Date_Control!$C$17</f>
        <v>2025</v>
      </c>
      <c r="AG1" s="8">
        <f>Date_Control!$C$16</f>
        <v>2026</v>
      </c>
      <c r="AI1" s="12" t="s">
        <v>21</v>
      </c>
      <c r="AJ1" s="12" t="s">
        <v>20</v>
      </c>
      <c r="AK1" s="12">
        <f>Date_Control!$C$21</f>
        <v>2021</v>
      </c>
      <c r="AL1" s="12">
        <f>Date_Control!$C$20</f>
        <v>2022</v>
      </c>
      <c r="AM1" s="12">
        <f>Date_Control!$C$19</f>
        <v>2023</v>
      </c>
      <c r="AN1" s="12">
        <f>Date_Control!$C$18</f>
        <v>2024</v>
      </c>
      <c r="AO1" s="12">
        <f>Date_Control!$C$17</f>
        <v>2025</v>
      </c>
      <c r="AP1" s="12">
        <f>Date_Control!$C$16</f>
        <v>2026</v>
      </c>
      <c r="AQ1" s="6"/>
      <c r="BX1"/>
    </row>
    <row r="2" spans="1:76" s="10" customFormat="1" ht="19.2" customHeight="1">
      <c r="A2" s="9"/>
      <c r="B2" s="169" t="str">
        <f>Date_Control!$B$4</f>
        <v>JULY 2026</v>
      </c>
      <c r="C2" s="4"/>
      <c r="D2" s="96" t="str">
        <f>IF(Main_Page!$C$10="Click Here to Select District", "No District Selected", $AA$2)</f>
        <v>No District Selected</v>
      </c>
      <c r="E2" s="4"/>
      <c r="F2" s="63" t="str">
        <f>IF(Main_Page!$C$10="Click Here to Select District", "No District Selected", $AA$2)</f>
        <v>No District Selected</v>
      </c>
      <c r="H2" s="64" t="str">
        <f>IF(Main_Page!$C$10="Click Here to Select District", "No District Selected", $AA$2)</f>
        <v>No District Selected</v>
      </c>
      <c r="I2" s="4"/>
      <c r="J2" s="22" t="str">
        <f>IF(Main_Page!$C$10="Click Here to Select District", "No District Selected", $AA$2)</f>
        <v>No District Selected</v>
      </c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37"/>
      <c r="Y2" s="4"/>
      <c r="Z2" s="38" t="str">
        <f t="array" ref="Z2">IFERROR(INDEX(Support1a6[Unit],SMALL(IF(Support1a6[Unit]=$BD$3,ROW(Support1a6[])-MIN(ROW(Support1a6[]))+1),AH2)), "")</f>
        <v/>
      </c>
      <c r="AA2" s="39" t="e">
        <f t="array" ref="AA2">INDEX(Support1a6[Name],SMALL(IF(Support1a6[Unit]=$BD$3,ROW(Support1a6[])-MIN(ROW(Support1a6[]))+1),AH2))</f>
        <v>#NUM!</v>
      </c>
      <c r="AB2" s="40" t="str">
        <f t="array" ref="AB2">IFERROR(INDEX(Support1a6[Column1],SMALL(IF(Support1a6[Unit]=$BD$3,ROW(Support1a6[])-MIN(ROW(Support1a6[]))+1),AH2)), "")</f>
        <v/>
      </c>
      <c r="AC2" s="40" t="str">
        <f t="array" ref="AC2">IFERROR(INDEX(Support1a6[Column2],SMALL(IF(Support1a6[Unit]=$BD$3,ROW(Support1a6[])-MIN(ROW(Support1a6[]))+1),AH2)), "")</f>
        <v/>
      </c>
      <c r="AD2" s="40" t="str">
        <f t="array" ref="AD2">IFERROR(INDEX(Support1a6[Column3],SMALL(IF(Support1a6[Unit]=$BD$3,ROW(Support1a6[])-MIN(ROW(Support1a6[]))+1),AH2)), "")</f>
        <v/>
      </c>
      <c r="AE2" s="40" t="str">
        <f t="array" ref="AE2">IFERROR(INDEX(Support1a6[Column4],SMALL(IF(Support1a6[Unit]=$BD$3,ROW(Support1a6[])-MIN(ROW(Support1a6[]))+1),AH2)), "")</f>
        <v/>
      </c>
      <c r="AF2" s="40" t="str">
        <f t="array" ref="AF2">IFERROR(INDEX(Support1a6[Column5],SMALL(IF(Support1a6[Unit]=$BD$3,ROW(Support1a6[])-MIN(ROW(Support1a6[]))+1),AH2)), "")</f>
        <v/>
      </c>
      <c r="AG2" s="40" t="str">
        <f t="array" ref="AG2">IFERROR(INDEX(Support1a6[Column6],SMALL(IF(Support1a6[Unit]=$BD$3,ROW(Support1a6[])-MIN(ROW(Support1a6[]))+1),AH2)), "")</f>
        <v/>
      </c>
      <c r="AH2" s="41">
        <v>1</v>
      </c>
      <c r="AI2" s="42" t="str">
        <f t="array" ref="AI2">IFERROR(INDEX(Support1b10[Unit],SMALL(IF(Support1b10[Unit]=$BD$3,ROW(Support1b10[])-MIN(ROW(Support1b10[]))+1),AH2)), "")</f>
        <v/>
      </c>
      <c r="AJ2" s="42" t="str">
        <f t="array" ref="AJ2">IFERROR(INDEX(Support1b10[Name],SMALL(IF(Support1b10[Unit]=$BD$3,ROW(Support1b10[])-MIN(ROW(Support1b10[]))+1),AH2)), "")</f>
        <v/>
      </c>
      <c r="AK2" s="43" t="str">
        <f t="array" ref="AK2">IFERROR(INDEX(Support1b10[Column1],SMALL(IF(Support1b10[Unit]=$BD$3,ROW(Support1b10[])-MIN(ROW(Support1b10[]))+1),AH2)), "")</f>
        <v/>
      </c>
      <c r="AL2" s="43" t="str">
        <f t="array" ref="AL2">IFERROR(INDEX(Support1b10[Column2],SMALL(IF(Support1b10[Unit]=$BD$3,ROW(Support1b10[])-MIN(ROW(Support1b10[]))+1),AH2)), "")</f>
        <v/>
      </c>
      <c r="AM2" s="43" t="str">
        <f t="array" ref="AM2">IFERROR(INDEX(Support1b10[Column3],SMALL(IF(Support1b10[Unit]=$BD$3,ROW(Support1b10[])-MIN(ROW(Support1b10[]))+1),AH2)), "")</f>
        <v/>
      </c>
      <c r="AN2" s="43" t="str">
        <f t="array" ref="AN2">IFERROR(INDEX(Support1b10[Column4],SMALL(IF(Support1b10[Unit]=$BD$3,ROW(Support1b10[])-MIN(ROW(Support1b10[]))+1),AH2)), "")</f>
        <v/>
      </c>
      <c r="AO2" s="43" t="str">
        <f t="array" ref="AO2">IFERROR(INDEX(Support1b10[Column5],SMALL(IF(Support1b10[Unit]=$BD$3,ROW(Support1b10[])-MIN(ROW(Support1b10[]))+1),AH2)), "")</f>
        <v/>
      </c>
      <c r="AP2" s="43" t="str">
        <f t="array" ref="AP2">IFERROR(INDEX(Support1b10[Column6],SMALL(IF(Support1b10[Unit]=$BD$3,ROW(Support1b10[])-MIN(ROW(Support1b10[]))+1),AH2)), "")</f>
        <v/>
      </c>
      <c r="AQ2" s="4"/>
      <c r="AR2" s="4"/>
      <c r="AS2"/>
      <c r="AT2" s="32">
        <f>Date_Control!$C$21</f>
        <v>2021</v>
      </c>
      <c r="AU2" s="32">
        <f>Date_Control!$C$20</f>
        <v>2022</v>
      </c>
      <c r="AV2" s="32">
        <f>Date_Control!$C$19</f>
        <v>2023</v>
      </c>
      <c r="AW2" s="32">
        <f>Date_Control!$C$18</f>
        <v>2024</v>
      </c>
      <c r="AX2" s="32">
        <f>Date_Control!$C$17</f>
        <v>2025</v>
      </c>
      <c r="AY2" s="32">
        <f>Date_Control!$C$16</f>
        <v>2026</v>
      </c>
      <c r="AZ2"/>
      <c r="BA2"/>
      <c r="BD2" s="44">
        <f>IF($BL1="T", MAX(BD8:BD103), 0)</f>
        <v>0</v>
      </c>
      <c r="BE2" s="44">
        <f>IF($BL1="T", MAX(BE8:BE103), 0)</f>
        <v>0</v>
      </c>
      <c r="BF2" s="44">
        <f t="shared" ref="BF2:BU2" si="0">IF($BL1="T", MAX(BF4:BF103), 0)</f>
        <v>0</v>
      </c>
      <c r="BJ2" s="44">
        <f t="shared" si="0"/>
        <v>0</v>
      </c>
      <c r="BK2" s="44">
        <f t="shared" si="0"/>
        <v>0</v>
      </c>
      <c r="BL2" s="44">
        <f t="shared" si="0"/>
        <v>0</v>
      </c>
      <c r="BM2" s="44">
        <f t="shared" si="0"/>
        <v>0</v>
      </c>
      <c r="BN2" s="44">
        <f t="shared" si="0"/>
        <v>0</v>
      </c>
      <c r="BQ2"/>
      <c r="BR2"/>
      <c r="BS2"/>
      <c r="BT2" s="44">
        <f t="shared" si="0"/>
        <v>0</v>
      </c>
      <c r="BU2" s="44">
        <f t="shared" si="0"/>
        <v>0</v>
      </c>
      <c r="BX2"/>
    </row>
    <row r="3" spans="1:76" ht="14.55" customHeight="1">
      <c r="B3" s="170"/>
      <c r="C3" s="7"/>
      <c r="D3" s="7"/>
      <c r="E3" s="7"/>
      <c r="F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21"/>
      <c r="Y3" s="7"/>
      <c r="Z3" s="38" t="str">
        <f t="array" ref="Z3">IFERROR(INDEX(Support2a11[Unit],SMALL(IF(Support2a11[Unit]=$BD$3,ROW(Support2a11[])-MIN(ROW(Support2a11[]))+1),AH3)), "")</f>
        <v/>
      </c>
      <c r="AA3" s="39" t="e">
        <f t="array" ref="AA3">INDEX(Support2a11[Name],SMALL(IF(Support2a11[Unit]=$BD$3,ROW(Support2a11[])-MIN(ROW(Support2a11[]))+1),AH3))</f>
        <v>#NUM!</v>
      </c>
      <c r="AB3" s="40" t="str">
        <f t="array" ref="AB3">IFERROR(INDEX(Support2a11[Column1],SMALL(IF(Support2a11[Unit]=$BD$3,ROW(Support2a11[])-MIN(ROW(Support2a11[]))+1),AH3)), "")</f>
        <v/>
      </c>
      <c r="AC3" s="40" t="str">
        <f t="array" ref="AC3">IFERROR(INDEX(Support2a11[Column2],SMALL(IF(Support2a11[Unit]=$BD$3,ROW(Support2a11[])-MIN(ROW(Support2a11[]))+1),AH3)), "")</f>
        <v/>
      </c>
      <c r="AD3" s="40" t="str">
        <f t="array" ref="AD3">IFERROR(INDEX(Support2a11[Column3],SMALL(IF(Support2a11[Unit]=$BD$3,ROW(Support2a11[])-MIN(ROW(Support2a11[]))+1),AH3)), "")</f>
        <v/>
      </c>
      <c r="AE3" s="40" t="str">
        <f t="array" ref="AE3">IFERROR(INDEX(Support2a11[Column4],SMALL(IF(Support2a11[Unit]=$BD$3,ROW(Support2a11[])-MIN(ROW(Support2a11[]))+1),AH3)), "")</f>
        <v/>
      </c>
      <c r="AF3" s="40" t="str">
        <f t="array" ref="AF3">IFERROR(INDEX(Support2a11[Column5],SMALL(IF(Support2a11[Unit]=$BD$3,ROW(Support2a11[])-MIN(ROW(Support2a11[]))+1),AH3)), "")</f>
        <v/>
      </c>
      <c r="AG3" s="40" t="str">
        <f t="array" ref="AG3">IFERROR(INDEX(Support2a11[Column6],SMALL(IF(Support2a11[Unit]=$BD$3,ROW(Support2a11[])-MIN(ROW(Support2a11[]))+1),AH3)), "")</f>
        <v/>
      </c>
      <c r="AH3" s="41">
        <v>1</v>
      </c>
      <c r="AI3" s="42" t="str">
        <f t="array" ref="AI3">IFERROR(INDEX(Support2b12[Unit],SMALL(IF(Support2b12[Unit]=$BD$3,ROW(Support2b12[])-MIN(ROW(Support2b12[]))+1),AH3)), "")</f>
        <v/>
      </c>
      <c r="AJ3" s="42" t="str">
        <f t="array" ref="AJ3">IFERROR(INDEX(Support2b12[Name],SMALL(IF(Support2b12[Unit]=$BD$3,ROW(Support2b12[])-MIN(ROW(Support2b12[]))+1),AH3)), "")</f>
        <v/>
      </c>
      <c r="AK3" s="43" t="str">
        <f t="array" ref="AK3">IFERROR(INDEX(Support2b12[Column1],SMALL(IF(Support2b12[Unit]=$BD$3,ROW(Support2b12[])-MIN(ROW(Support2b12[]))+1),AH3)), "")</f>
        <v/>
      </c>
      <c r="AL3" s="43" t="str">
        <f t="array" ref="AL3">IFERROR(INDEX(Support2b12[Column2],SMALL(IF(Support2b12[Unit]=$BD$3,ROW(Support2b12[])-MIN(ROW(Support2b12[]))+1),AH3)), "")</f>
        <v/>
      </c>
      <c r="AM3" s="43" t="str">
        <f t="array" ref="AM3">IFERROR(INDEX(Support2b12[Column3],SMALL(IF(Support2b12[Unit]=$BD$3,ROW(Support2b12[])-MIN(ROW(Support2b12[]))+1),AH3)), "")</f>
        <v/>
      </c>
      <c r="AN3" s="43" t="str">
        <f t="array" ref="AN3">IFERROR(INDEX(Support2b12[Column4],SMALL(IF(Support2b12[Unit]=$BD$3,ROW(Support2b12[])-MIN(ROW(Support2b12[]))+1),AH3)), "")</f>
        <v/>
      </c>
      <c r="AO3" s="43" t="str">
        <f t="array" ref="AO3">IFERROR(INDEX(Support2b12[Column5],SMALL(IF(Support2b12[Unit]=$BD$3,ROW(Support2b12[])-MIN(ROW(Support2b12[]))+1),AH3)), "")</f>
        <v/>
      </c>
      <c r="AP3" s="43" t="str">
        <f t="array" ref="AP3">IFERROR(INDEX(Support2b12[Column6],SMALL(IF(Support2b12[Unit]=$BD$3,ROW(Support2b12[])-MIN(ROW(Support2b12[]))+1),AH3)), "")</f>
        <v/>
      </c>
      <c r="AQ3" s="7"/>
      <c r="AR3" t="s">
        <v>32</v>
      </c>
      <c r="AS3" s="59" t="s">
        <v>16</v>
      </c>
      <c r="AT3" s="17" t="str">
        <f t="shared" ref="AT3:AY3" si="1">AB2</f>
        <v/>
      </c>
      <c r="AU3" s="17" t="str">
        <f t="shared" si="1"/>
        <v/>
      </c>
      <c r="AV3" s="17" t="str">
        <f t="shared" si="1"/>
        <v/>
      </c>
      <c r="AW3" s="17" t="str">
        <f t="shared" si="1"/>
        <v/>
      </c>
      <c r="AX3" s="17" t="str">
        <f t="shared" si="1"/>
        <v/>
      </c>
      <c r="AY3" s="17" t="str">
        <f t="shared" si="1"/>
        <v/>
      </c>
      <c r="BB3" s="161" t="s">
        <v>47</v>
      </c>
      <c r="BC3" s="164"/>
      <c r="BD3" s="162" t="str">
        <f>LEFT(Main_Page!$C$10,3)</f>
        <v>Cli</v>
      </c>
      <c r="BX3"/>
    </row>
    <row r="4" spans="1:76" ht="14.55" customHeight="1">
      <c r="X4" s="21"/>
      <c r="Z4" s="38" t="str">
        <f t="array" ref="Z4">IFERROR(INDEX(Support3a13[Unit],SMALL(IF(Support3a13[Unit]=$BD$3,ROW(Support3a13[])-MIN(ROW(Support3a13[]))+1),AH4)), "")</f>
        <v/>
      </c>
      <c r="AA4" s="39" t="e">
        <f t="array" ref="AA4">INDEX(Support3a13[Name],SMALL(IF(Support3a13[Unit]=$BD$3,ROW(Support3a13[])-MIN(ROW(Support3a13[]))+1),AH4))</f>
        <v>#NUM!</v>
      </c>
      <c r="AB4" s="40" t="str">
        <f t="array" ref="AB4">IFERROR(INDEX(Support3a13[Column1],SMALL(IF(Support3a13[Unit]=$BD$3,ROW(Support3a13[])-MIN(ROW(Support3a13[]))+1),AH4)), "")</f>
        <v/>
      </c>
      <c r="AC4" s="40" t="str">
        <f t="array" ref="AC4">IFERROR(INDEX(Support3a13[Column2],SMALL(IF(Support3a13[Unit]=$BD$3,ROW(Support3a13[])-MIN(ROW(Support3a13[]))+1),AH4)), "")</f>
        <v/>
      </c>
      <c r="AD4" s="40" t="str">
        <f t="array" ref="AD4">IFERROR(INDEX(Support3a13[Column3],SMALL(IF(Support3a13[Unit]=$BD$3,ROW(Support3a13[])-MIN(ROW(Support3a13[]))+1),AH4)), "")</f>
        <v/>
      </c>
      <c r="AE4" s="40" t="str">
        <f t="array" ref="AE4">IFERROR(INDEX(Support3a13[Column4],SMALL(IF(Support3a13[Unit]=$BD$3,ROW(Support3a13[])-MIN(ROW(Support3a13[]))+1),AH4)), "")</f>
        <v/>
      </c>
      <c r="AF4" s="40" t="str">
        <f t="array" ref="AF4">IFERROR(INDEX(Support3a13[Column5],SMALL(IF(Support3a13[Unit]=$BD$3,ROW(Support3a13[])-MIN(ROW(Support3a13[]))+1),AH4)), "")</f>
        <v/>
      </c>
      <c r="AG4" s="40" t="str">
        <f t="array" ref="AG4">IFERROR(INDEX(Support3a13[Column6],SMALL(IF(Support3a13[Unit]=$BD$3,ROW(Support3a13[])-MIN(ROW(Support3a13[]))+1),AH4)), "")</f>
        <v/>
      </c>
      <c r="AH4" s="41">
        <v>1</v>
      </c>
      <c r="AI4" s="42" t="str">
        <f t="array" ref="AI4">IFERROR(INDEX(Support3b14[Unit],SMALL(IF(Support3b14[Unit]=$BD$3,ROW(Support3b14[])-MIN(ROW(Support3b14[]))+1),AH4)), "")</f>
        <v/>
      </c>
      <c r="AJ4" s="42" t="str">
        <f t="array" ref="AJ4">IFERROR(INDEX(Support3b14[Name],SMALL(IF(Support3b14[Unit]=$BD$3,ROW(Support3b14[])-MIN(ROW(Support3b14[]))+1),AH4)), "")</f>
        <v/>
      </c>
      <c r="AK4" s="43" t="str">
        <f t="array" ref="AK4">IFERROR(INDEX(Support3b14[Column1],SMALL(IF(Support3b14[Unit]=$BD$3,ROW(Support3b14[])-MIN(ROW(Support3b14[]))+1),AH4)), "")</f>
        <v/>
      </c>
      <c r="AL4" s="43" t="str">
        <f t="array" ref="AL4">IFERROR(INDEX(Support3b14[Column2],SMALL(IF(Support3b14[Unit]=$BD$3,ROW(Support3b14[])-MIN(ROW(Support3b14[]))+1),AH4)), "")</f>
        <v/>
      </c>
      <c r="AM4" s="43" t="str">
        <f t="array" ref="AM4">IFERROR(INDEX(Support3b14[Column3],SMALL(IF(Support3b14[Unit]=$BD$3,ROW(Support3b14[])-MIN(ROW(Support3b14[]))+1),AH4)), "")</f>
        <v/>
      </c>
      <c r="AN4" s="43" t="str">
        <f t="array" ref="AN4">IFERROR(INDEX(Support3b14[Column4],SMALL(IF(Support3b14[Unit]=$BD$3,ROW(Support3b14[])-MIN(ROW(Support3b14[]))+1),AH4)), "")</f>
        <v/>
      </c>
      <c r="AO4" s="43" t="str">
        <f t="array" ref="AO4">IFERROR(INDEX(Support3b14[Column5],SMALL(IF(Support3b14[Unit]=$BD$3,ROW(Support3b14[])-MIN(ROW(Support3b14[]))+1),AH4)), "")</f>
        <v/>
      </c>
      <c r="AP4" s="43" t="str">
        <f t="array" ref="AP4">IFERROR(INDEX(Support3b14[Column6],SMALL(IF(Support3b14[Unit]=$BD$3,ROW(Support3b14[])-MIN(ROW(Support3b14[]))+1),AH4)), "")</f>
        <v/>
      </c>
      <c r="AS4" s="59" t="s">
        <v>17</v>
      </c>
      <c r="AT4" s="17" t="str">
        <f t="shared" ref="AT4:AY4" si="2">AK2</f>
        <v/>
      </c>
      <c r="AU4" s="17" t="str">
        <f t="shared" si="2"/>
        <v/>
      </c>
      <c r="AV4" s="17" t="str">
        <f t="shared" si="2"/>
        <v/>
      </c>
      <c r="AW4" s="17" t="str">
        <f t="shared" si="2"/>
        <v/>
      </c>
      <c r="AX4" s="17" t="str">
        <f t="shared" si="2"/>
        <v/>
      </c>
      <c r="AY4" s="17" t="str">
        <f t="shared" si="2"/>
        <v/>
      </c>
      <c r="BB4" s="161"/>
      <c r="BC4" s="164"/>
      <c r="BD4" s="163"/>
      <c r="BX4"/>
    </row>
    <row r="5" spans="1:76" ht="14.55" customHeight="1">
      <c r="B5" s="53" t="s">
        <v>78</v>
      </c>
      <c r="X5" s="21"/>
      <c r="Z5" s="38" t="str">
        <f t="array" ref="Z5">IFERROR(INDEX(Support4a15[Unit],SMALL(IF(Support4a15[Unit]=$BD$3,ROW(Support4a15[])-MIN(ROW(Support4a15[]))+1),AH5)), "")</f>
        <v/>
      </c>
      <c r="AA5" s="39" t="e">
        <f t="array" ref="AA5">INDEX(Support4a15[Name],SMALL(IF(Support4a15[Unit]=$BD$3,ROW(Support4a15[])-MIN(ROW(Support4a15[]))+1),AH5))</f>
        <v>#NUM!</v>
      </c>
      <c r="AB5" s="40" t="str">
        <f t="array" ref="AB5">IFERROR(INDEX(Support4a15[Column1],SMALL(IF(Support4a15[Unit]=$BD$3,ROW(Support4a15[])-MIN(ROW(Support4a15[]))+1),AH5)), "")</f>
        <v/>
      </c>
      <c r="AC5" s="40" t="str">
        <f t="array" ref="AC5">IFERROR(INDEX(Support4a15[Column2],SMALL(IF(Support4a15[Unit]=$BD$3,ROW(Support4a15[])-MIN(ROW(Support4a15[]))+1),AH5)), "")</f>
        <v/>
      </c>
      <c r="AD5" s="40" t="str">
        <f t="array" ref="AD5">IFERROR(INDEX(Support4a15[Column3],SMALL(IF(Support4a15[Unit]=$BD$3,ROW(Support4a15[])-MIN(ROW(Support4a15[]))+1),AH5)), "")</f>
        <v/>
      </c>
      <c r="AE5" s="40" t="str">
        <f t="array" ref="AE5">IFERROR(INDEX(Support4a15[Column4],SMALL(IF(Support4a15[Unit]=$BD$3,ROW(Support4a15[])-MIN(ROW(Support4a15[]))+1),AH5)), "")</f>
        <v/>
      </c>
      <c r="AF5" s="40" t="str">
        <f t="array" ref="AF5">IFERROR(INDEX(Support4a15[Column5],SMALL(IF(Support4a15[Unit]=$BD$3,ROW(Support4a15[])-MIN(ROW(Support4a15[]))+1),AH5)), "")</f>
        <v/>
      </c>
      <c r="AG5" s="40" t="str">
        <f t="array" ref="AG5">IFERROR(INDEX(Support4a15[Column6],SMALL(IF(Support4a15[Unit]=$BD$3,ROW(Support4a15[])-MIN(ROW(Support4a15[]))+1),AH5)), "")</f>
        <v/>
      </c>
      <c r="AH5" s="41">
        <v>1</v>
      </c>
      <c r="AI5" s="42" t="str">
        <f t="array" ref="AI5">IFERROR(INDEX(Support4b16[Unit],SMALL(IF(Support4b16[Unit]=$BD$3,ROW(Support4b16[])-MIN(ROW(Support4b16[]))+1),AH5)), "")</f>
        <v/>
      </c>
      <c r="AJ5" s="42" t="str">
        <f t="array" ref="AJ5">IFERROR(INDEX(Support4b16[Name],SMALL(IF(Support4b16[Unit]=$BD$3,ROW(Support4b16[])-MIN(ROW(Support4b16[]))+1),AH5)), "")</f>
        <v/>
      </c>
      <c r="AK5" s="43" t="str">
        <f t="array" ref="AK5">IFERROR(INDEX(Support4b16[Column1],SMALL(IF(Support4b16[Unit]=$BD$3,ROW(Support4b16[])-MIN(ROW(Support4b16[]))+1),AH5)), "")</f>
        <v/>
      </c>
      <c r="AL5" s="43" t="str">
        <f t="array" ref="AL5">IFERROR(INDEX(Support4b16[Column2],SMALL(IF(Support4b16[Unit]=$BD$3,ROW(Support4b16[])-MIN(ROW(Support4b16[]))+1),AH5)), "")</f>
        <v/>
      </c>
      <c r="AM5" s="43" t="str">
        <f t="array" ref="AM5">IFERROR(INDEX(Support4b16[Column3],SMALL(IF(Support4b16[Unit]=$BD$3,ROW(Support4b16[])-MIN(ROW(Support4b16[]))+1),AH5)), "")</f>
        <v/>
      </c>
      <c r="AN5" s="43" t="str">
        <f t="array" ref="AN5">IFERROR(INDEX(Support4b16[Column4],SMALL(IF(Support4b16[Unit]=$BD$3,ROW(Support4b16[])-MIN(ROW(Support4b16[]))+1),AH5)), "")</f>
        <v/>
      </c>
      <c r="AO5" s="43" t="str">
        <f t="array" ref="AO5">IFERROR(INDEX(Support4b16[Column5],SMALL(IF(Support4b16[Unit]=$BD$3,ROW(Support4b16[])-MIN(ROW(Support4b16[]))+1),AH5)), "")</f>
        <v/>
      </c>
      <c r="AP5" s="43" t="str">
        <f t="array" ref="AP5">IFERROR(INDEX(Support4b16[Column6],SMALL(IF(Support4b16[Unit]=$BD$3,ROW(Support4b16[])-MIN(ROW(Support4b16[]))+1),AH5)), "")</f>
        <v/>
      </c>
      <c r="AS5" s="59"/>
      <c r="AT5" s="32">
        <f>Date_Control!$C$21</f>
        <v>2021</v>
      </c>
      <c r="AU5" s="32">
        <f>Date_Control!$C$20</f>
        <v>2022</v>
      </c>
      <c r="AV5" s="32">
        <f>Date_Control!$C$19</f>
        <v>2023</v>
      </c>
      <c r="AW5" s="32">
        <f>Date_Control!$C$18</f>
        <v>2024</v>
      </c>
      <c r="AX5" s="32">
        <f>Date_Control!$C$17</f>
        <v>2025</v>
      </c>
      <c r="AY5" s="32">
        <f>Date_Control!$C$16</f>
        <v>2026</v>
      </c>
      <c r="BX5"/>
    </row>
    <row r="6" spans="1:76" ht="14.55" customHeight="1">
      <c r="B6" s="53" t="s">
        <v>79</v>
      </c>
      <c r="X6" s="21"/>
      <c r="AR6" t="s">
        <v>33</v>
      </c>
      <c r="AS6" s="59" t="s">
        <v>16</v>
      </c>
      <c r="AT6" s="17" t="str">
        <f t="shared" ref="AT6:AY6" si="3">AB3</f>
        <v/>
      </c>
      <c r="AU6" s="17" t="str">
        <f t="shared" si="3"/>
        <v/>
      </c>
      <c r="AV6" s="17" t="str">
        <f t="shared" si="3"/>
        <v/>
      </c>
      <c r="AW6" s="17" t="str">
        <f t="shared" si="3"/>
        <v/>
      </c>
      <c r="AX6" s="17" t="str">
        <f t="shared" si="3"/>
        <v/>
      </c>
      <c r="AY6" s="17" t="str">
        <f t="shared" si="3"/>
        <v/>
      </c>
      <c r="BX6"/>
    </row>
    <row r="7" spans="1:76" ht="14.55" customHeight="1">
      <c r="B7" s="53" t="s">
        <v>80</v>
      </c>
      <c r="X7" s="21"/>
      <c r="AS7" s="59" t="s">
        <v>17</v>
      </c>
      <c r="AT7" s="17" t="str">
        <f t="shared" ref="AT7:AY7" si="4">AK3</f>
        <v/>
      </c>
      <c r="AU7" s="17" t="str">
        <f t="shared" si="4"/>
        <v/>
      </c>
      <c r="AV7" s="17" t="str">
        <f t="shared" si="4"/>
        <v/>
      </c>
      <c r="AW7" s="17" t="str">
        <f t="shared" si="4"/>
        <v/>
      </c>
      <c r="AX7" s="17" t="str">
        <f t="shared" si="4"/>
        <v/>
      </c>
      <c r="AY7" s="17" t="str">
        <f t="shared" si="4"/>
        <v/>
      </c>
      <c r="BX7"/>
    </row>
    <row r="8" spans="1:76" ht="14.55" customHeight="1">
      <c r="B8" s="53"/>
      <c r="X8" s="21"/>
      <c r="AS8" s="59"/>
      <c r="AT8" s="32">
        <f>Date_Control!$C$21</f>
        <v>2021</v>
      </c>
      <c r="AU8" s="32">
        <f>Date_Control!$C$20</f>
        <v>2022</v>
      </c>
      <c r="AV8" s="32">
        <f>Date_Control!$C$19</f>
        <v>2023</v>
      </c>
      <c r="AW8" s="32">
        <f>Date_Control!$C$18</f>
        <v>2024</v>
      </c>
      <c r="AX8" s="32">
        <f>Date_Control!$C$17</f>
        <v>2025</v>
      </c>
      <c r="AY8" s="32">
        <f>Date_Control!$C$16</f>
        <v>2026</v>
      </c>
      <c r="BX8"/>
    </row>
    <row r="9" spans="1:76" ht="14.55" customHeight="1">
      <c r="B9" s="53" t="s">
        <v>19</v>
      </c>
      <c r="X9" s="21"/>
      <c r="AR9" t="s">
        <v>34</v>
      </c>
      <c r="AS9" s="59" t="s">
        <v>16</v>
      </c>
      <c r="AT9" s="17" t="str">
        <f>AB4</f>
        <v/>
      </c>
      <c r="AU9" s="17" t="str">
        <f t="shared" ref="AU9:AY9" si="5">AC4</f>
        <v/>
      </c>
      <c r="AV9" s="17" t="str">
        <f t="shared" si="5"/>
        <v/>
      </c>
      <c r="AW9" s="17" t="str">
        <f t="shared" si="5"/>
        <v/>
      </c>
      <c r="AX9" s="17" t="str">
        <f t="shared" si="5"/>
        <v/>
      </c>
      <c r="AY9" s="17" t="str">
        <f t="shared" si="5"/>
        <v/>
      </c>
      <c r="BX9"/>
    </row>
    <row r="10" spans="1:76" ht="14.55" customHeight="1">
      <c r="X10" s="21"/>
      <c r="AS10" s="59" t="s">
        <v>17</v>
      </c>
      <c r="AT10" s="17" t="str">
        <f>AK4</f>
        <v/>
      </c>
      <c r="AU10" s="17" t="str">
        <f t="shared" ref="AU10:AY10" si="6">AL4</f>
        <v/>
      </c>
      <c r="AV10" s="17" t="str">
        <f t="shared" si="6"/>
        <v/>
      </c>
      <c r="AW10" s="17" t="str">
        <f t="shared" si="6"/>
        <v/>
      </c>
      <c r="AX10" s="17" t="str">
        <f t="shared" si="6"/>
        <v/>
      </c>
      <c r="AY10" s="17" t="str">
        <f t="shared" si="6"/>
        <v/>
      </c>
      <c r="BX10"/>
    </row>
    <row r="11" spans="1:76" ht="15.45" customHeight="1">
      <c r="B11" s="53" t="s">
        <v>23</v>
      </c>
      <c r="X11" s="21"/>
      <c r="AS11" s="59"/>
      <c r="AT11" s="32">
        <f>Date_Control!$C$21</f>
        <v>2021</v>
      </c>
      <c r="AU11" s="32">
        <f>Date_Control!$C$20</f>
        <v>2022</v>
      </c>
      <c r="AV11" s="32">
        <f>Date_Control!$C$19</f>
        <v>2023</v>
      </c>
      <c r="AW11" s="32">
        <f>Date_Control!$C$18</f>
        <v>2024</v>
      </c>
      <c r="AX11" s="32">
        <f>Date_Control!$C$17</f>
        <v>2025</v>
      </c>
      <c r="AY11" s="32">
        <f>Date_Control!$C$16</f>
        <v>2026</v>
      </c>
      <c r="BX11"/>
    </row>
    <row r="12" spans="1:76" ht="14.55" customHeight="1">
      <c r="X12" s="21"/>
      <c r="AR12" t="s">
        <v>35</v>
      </c>
      <c r="AS12" s="59" t="s">
        <v>16</v>
      </c>
      <c r="AT12" s="17" t="str">
        <f>AB5</f>
        <v/>
      </c>
      <c r="AU12" s="17" t="str">
        <f t="shared" ref="AU12:AY12" si="7">AC5</f>
        <v/>
      </c>
      <c r="AV12" s="17" t="str">
        <f t="shared" si="7"/>
        <v/>
      </c>
      <c r="AW12" s="17" t="str">
        <f t="shared" si="7"/>
        <v/>
      </c>
      <c r="AX12" s="17" t="str">
        <f t="shared" si="7"/>
        <v/>
      </c>
      <c r="AY12" s="17" t="str">
        <f t="shared" si="7"/>
        <v/>
      </c>
      <c r="BX12"/>
    </row>
    <row r="13" spans="1:76" ht="14.55" customHeight="1">
      <c r="X13" s="21"/>
      <c r="AS13" s="59" t="s">
        <v>17</v>
      </c>
      <c r="AT13" s="17" t="str">
        <f>AK5</f>
        <v/>
      </c>
      <c r="AU13" s="17" t="str">
        <f t="shared" ref="AU13:AY13" si="8">AL5</f>
        <v/>
      </c>
      <c r="AV13" s="17" t="str">
        <f t="shared" si="8"/>
        <v/>
      </c>
      <c r="AW13" s="17" t="str">
        <f t="shared" si="8"/>
        <v/>
      </c>
      <c r="AX13" s="17" t="str">
        <f t="shared" si="8"/>
        <v/>
      </c>
      <c r="AY13" s="17" t="str">
        <f t="shared" si="8"/>
        <v/>
      </c>
      <c r="BX13"/>
    </row>
    <row r="14" spans="1:76" ht="14.55" customHeight="1">
      <c r="B14" s="165" t="str">
        <f>IF(Main_Page!C10="Click here to select district", "SELECT DISTRICT ON MAIN PAGE", "")</f>
        <v>SELECT DISTRICT ON MAIN PAGE</v>
      </c>
      <c r="C14" s="166"/>
      <c r="X14" s="21"/>
      <c r="AR14"/>
      <c r="AS14" s="59"/>
      <c r="BX14"/>
    </row>
    <row r="15" spans="1:76" ht="14.55" customHeight="1">
      <c r="B15" s="167"/>
      <c r="C15" s="168"/>
      <c r="X15" s="21"/>
      <c r="Z15" s="161" t="s">
        <v>36</v>
      </c>
      <c r="AA15" s="159" t="s">
        <v>66</v>
      </c>
      <c r="AR15"/>
      <c r="BX15"/>
    </row>
    <row r="16" spans="1:76" ht="14.55" customHeight="1">
      <c r="X16" s="21"/>
      <c r="Z16" s="161"/>
      <c r="AA16" s="160"/>
      <c r="AR16"/>
      <c r="BX16"/>
    </row>
    <row r="17" spans="1:76" ht="14.55" customHeight="1">
      <c r="X17" s="21"/>
      <c r="Z17" s="58"/>
      <c r="AR17"/>
      <c r="BX17"/>
    </row>
    <row r="18" spans="1:76" ht="14.55" customHeight="1">
      <c r="X18" s="21"/>
      <c r="Z18" s="161" t="s">
        <v>38</v>
      </c>
      <c r="AA18" s="159" t="s">
        <v>67</v>
      </c>
      <c r="AD18" t="s">
        <v>31</v>
      </c>
      <c r="AR18"/>
      <c r="BX18"/>
    </row>
    <row r="19" spans="1:76" ht="14.55" customHeight="1">
      <c r="X19" s="21"/>
      <c r="Z19" s="161"/>
      <c r="AA19" s="160"/>
      <c r="AR19"/>
      <c r="BX19"/>
    </row>
    <row r="20" spans="1:76" ht="14.55" customHeight="1">
      <c r="X20" s="37"/>
      <c r="Z20" s="58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R20"/>
      <c r="AZ20" s="10"/>
      <c r="BA20" s="10"/>
      <c r="BV20" s="10"/>
      <c r="BX20"/>
    </row>
    <row r="21" spans="1:76" ht="14.55" customHeight="1">
      <c r="X21" s="21"/>
      <c r="Z21" s="161" t="s">
        <v>43</v>
      </c>
      <c r="AA21" s="159" t="s">
        <v>68</v>
      </c>
      <c r="AR21" s="30" t="s">
        <v>21</v>
      </c>
      <c r="AS21" s="30" t="s">
        <v>20</v>
      </c>
      <c r="AT21" s="30" t="s">
        <v>30</v>
      </c>
      <c r="AU21" s="30" t="s">
        <v>22</v>
      </c>
      <c r="AV21" s="30" t="s">
        <v>39</v>
      </c>
      <c r="AW21" s="30" t="s">
        <v>40</v>
      </c>
      <c r="AX21" s="30" t="s">
        <v>41</v>
      </c>
      <c r="AY21" s="30" t="s">
        <v>42</v>
      </c>
      <c r="BA21" s="12" t="s">
        <v>21</v>
      </c>
      <c r="BB21" s="12" t="s">
        <v>20</v>
      </c>
      <c r="BC21" s="12" t="s">
        <v>30</v>
      </c>
      <c r="BD21" s="12" t="s">
        <v>22</v>
      </c>
      <c r="BE21" s="12" t="s">
        <v>39</v>
      </c>
      <c r="BF21" s="12" t="s">
        <v>40</v>
      </c>
      <c r="BG21" s="12" t="s">
        <v>41</v>
      </c>
      <c r="BH21" s="12" t="s">
        <v>42</v>
      </c>
      <c r="BX21"/>
    </row>
    <row r="22" spans="1:76" ht="14.55" customHeight="1">
      <c r="B22" s="53"/>
      <c r="X22" s="21"/>
      <c r="Z22" s="161"/>
      <c r="AA22" s="160"/>
      <c r="AR22" s="30" t="s">
        <v>0</v>
      </c>
      <c r="AS22" s="30" t="s">
        <v>131</v>
      </c>
      <c r="AT22" s="57">
        <f>Augmentation_Data!D2</f>
        <v>706.75</v>
      </c>
      <c r="AU22" s="57">
        <f>Augmentation_Data!E2</f>
        <v>2363.3999999999996</v>
      </c>
      <c r="AV22" s="57">
        <f>Augmentation_Data!F2</f>
        <v>1960.33</v>
      </c>
      <c r="AW22" s="57">
        <f>Augmentation_Data!G2</f>
        <v>2330.31</v>
      </c>
      <c r="AX22" s="57">
        <f>Augmentation_Data!H2</f>
        <v>2205.17</v>
      </c>
      <c r="AY22" s="57">
        <f>Augmentation_Data!I2</f>
        <v>826.65</v>
      </c>
      <c r="BA22" s="15" t="s">
        <v>0</v>
      </c>
      <c r="BB22" s="15" t="s">
        <v>131</v>
      </c>
      <c r="BC22" s="36">
        <f>Augmentation_Data!M2</f>
        <v>332</v>
      </c>
      <c r="BD22" s="36">
        <f>Augmentation_Data!N2</f>
        <v>1620.05</v>
      </c>
      <c r="BE22" s="36">
        <f>Augmentation_Data!O2</f>
        <v>885</v>
      </c>
      <c r="BF22" s="36">
        <f>Augmentation_Data!P2</f>
        <v>1019.97</v>
      </c>
      <c r="BG22" s="36">
        <f>Augmentation_Data!Q2</f>
        <v>1167.5</v>
      </c>
      <c r="BH22" s="36">
        <f>Augmentation_Data!R2</f>
        <v>826.65</v>
      </c>
      <c r="BX22"/>
    </row>
    <row r="23" spans="1:76" ht="14.55" customHeight="1">
      <c r="B23" s="53"/>
      <c r="X23" s="21"/>
      <c r="Z23" s="58"/>
      <c r="AR23" s="30" t="s">
        <v>1</v>
      </c>
      <c r="AS23" s="30" t="s">
        <v>130</v>
      </c>
      <c r="AT23" s="57">
        <f>Augmentation_Data!D3</f>
        <v>4116.8500000000004</v>
      </c>
      <c r="AU23" s="57">
        <f>Augmentation_Data!E3</f>
        <v>6942.6</v>
      </c>
      <c r="AV23" s="57">
        <f>Augmentation_Data!F3</f>
        <v>5590.15</v>
      </c>
      <c r="AW23" s="57">
        <f>Augmentation_Data!G3</f>
        <v>4756.8500000000004</v>
      </c>
      <c r="AX23" s="57">
        <f>Augmentation_Data!H3</f>
        <v>4176.1499999999996</v>
      </c>
      <c r="AY23" s="57">
        <f>Augmentation_Data!I3</f>
        <v>1955</v>
      </c>
      <c r="BA23" s="15" t="s">
        <v>1</v>
      </c>
      <c r="BB23" s="15" t="s">
        <v>130</v>
      </c>
      <c r="BC23" s="36">
        <f>Augmentation_Data!M3</f>
        <v>1753.75</v>
      </c>
      <c r="BD23" s="36">
        <f>Augmentation_Data!N3</f>
        <v>3961.2</v>
      </c>
      <c r="BE23" s="36">
        <f>Augmentation_Data!O3</f>
        <v>2851.39</v>
      </c>
      <c r="BF23" s="36">
        <f>Augmentation_Data!P3</f>
        <v>2425.4499999999998</v>
      </c>
      <c r="BG23" s="36">
        <f>Augmentation_Data!Q3</f>
        <v>2030.8500000000001</v>
      </c>
      <c r="BH23" s="36">
        <f>Augmentation_Data!R3</f>
        <v>1955</v>
      </c>
      <c r="BX23"/>
    </row>
    <row r="24" spans="1:76" ht="14.55" customHeight="1">
      <c r="B24" s="53"/>
      <c r="X24" s="21"/>
      <c r="Z24" s="161" t="s">
        <v>44</v>
      </c>
      <c r="AA24" s="159" t="s">
        <v>69</v>
      </c>
      <c r="AR24" s="30" t="s">
        <v>2</v>
      </c>
      <c r="AS24" s="30" t="s">
        <v>132</v>
      </c>
      <c r="AT24" s="57">
        <f>Augmentation_Data!D4</f>
        <v>715</v>
      </c>
      <c r="AU24" s="57">
        <f>Augmentation_Data!E4</f>
        <v>1643.73</v>
      </c>
      <c r="AV24" s="57">
        <f>Augmentation_Data!F4</f>
        <v>4805.7</v>
      </c>
      <c r="AW24" s="57">
        <f>Augmentation_Data!G4</f>
        <v>3857.95</v>
      </c>
      <c r="AX24" s="57">
        <f>Augmentation_Data!H4</f>
        <v>3772</v>
      </c>
      <c r="AY24" s="57">
        <f>Augmentation_Data!I4</f>
        <v>1909.6200000000001</v>
      </c>
      <c r="BA24" s="15" t="s">
        <v>2</v>
      </c>
      <c r="BB24" s="15" t="s">
        <v>132</v>
      </c>
      <c r="BC24" s="36">
        <f>Augmentation_Data!M4</f>
        <v>38</v>
      </c>
      <c r="BD24" s="36">
        <f>Augmentation_Data!N4</f>
        <v>722.15</v>
      </c>
      <c r="BE24" s="36">
        <f>Augmentation_Data!O4</f>
        <v>3182.25</v>
      </c>
      <c r="BF24" s="36">
        <f>Augmentation_Data!P4</f>
        <v>1966</v>
      </c>
      <c r="BG24" s="36">
        <f>Augmentation_Data!Q4</f>
        <v>1464.2</v>
      </c>
      <c r="BH24" s="36">
        <f>Augmentation_Data!R4</f>
        <v>1909.6200000000001</v>
      </c>
      <c r="BX24"/>
    </row>
    <row r="25" spans="1:76" ht="14.55" customHeight="1">
      <c r="B25" s="53"/>
      <c r="X25" s="21"/>
      <c r="Z25" s="161"/>
      <c r="AA25" s="160"/>
      <c r="AR25" s="30" t="s">
        <v>3</v>
      </c>
      <c r="AS25" s="30" t="s">
        <v>133</v>
      </c>
      <c r="AT25" s="57">
        <f>Augmentation_Data!D5</f>
        <v>2217.25</v>
      </c>
      <c r="AU25" s="57">
        <f>Augmentation_Data!E5</f>
        <v>1395.9</v>
      </c>
      <c r="AV25" s="57">
        <f>Augmentation_Data!F5</f>
        <v>3420.5999999999995</v>
      </c>
      <c r="AW25" s="57">
        <f>Augmentation_Data!G5</f>
        <v>2033.31</v>
      </c>
      <c r="AX25" s="57">
        <f>Augmentation_Data!H5</f>
        <v>2648.26</v>
      </c>
      <c r="AY25" s="57">
        <f>Augmentation_Data!I5</f>
        <v>650.25</v>
      </c>
      <c r="BA25" s="15" t="s">
        <v>3</v>
      </c>
      <c r="BB25" s="15" t="s">
        <v>133</v>
      </c>
      <c r="BC25" s="36">
        <f>Augmentation_Data!M5</f>
        <v>309.5</v>
      </c>
      <c r="BD25" s="36">
        <f>Augmentation_Data!N5</f>
        <v>464.2</v>
      </c>
      <c r="BE25" s="36">
        <f>Augmentation_Data!O5</f>
        <v>1918.0000000000002</v>
      </c>
      <c r="BF25" s="36">
        <f>Augmentation_Data!P5</f>
        <v>991.85</v>
      </c>
      <c r="BG25" s="36">
        <f>Augmentation_Data!Q5</f>
        <v>1468.81</v>
      </c>
      <c r="BH25" s="36">
        <f>Augmentation_Data!R5</f>
        <v>650.25</v>
      </c>
      <c r="BX25"/>
    </row>
    <row r="26" spans="1:76" ht="14.55" customHeight="1">
      <c r="X26" s="21"/>
      <c r="AR26" s="30" t="s">
        <v>4</v>
      </c>
      <c r="AS26" s="30" t="s">
        <v>134</v>
      </c>
      <c r="AT26" s="57">
        <f>Augmentation_Data!D6</f>
        <v>7175.74</v>
      </c>
      <c r="AU26" s="57">
        <f>Augmentation_Data!E6</f>
        <v>10060.040000000001</v>
      </c>
      <c r="AV26" s="57">
        <f>Augmentation_Data!F6</f>
        <v>11450.59</v>
      </c>
      <c r="AW26" s="57">
        <f>Augmentation_Data!G6</f>
        <v>7094.35</v>
      </c>
      <c r="AX26" s="57">
        <f>Augmentation_Data!H6</f>
        <v>6834.15</v>
      </c>
      <c r="AY26" s="57">
        <f>Augmentation_Data!I6</f>
        <v>3300.8500000000004</v>
      </c>
      <c r="BA26" s="15" t="s">
        <v>4</v>
      </c>
      <c r="BB26" s="15" t="s">
        <v>134</v>
      </c>
      <c r="BC26" s="36">
        <f>Augmentation_Data!M6</f>
        <v>2228.9899999999998</v>
      </c>
      <c r="BD26" s="36">
        <f>Augmentation_Data!N6</f>
        <v>5674</v>
      </c>
      <c r="BE26" s="36">
        <f>Augmentation_Data!O6</f>
        <v>5214.8700000000008</v>
      </c>
      <c r="BF26" s="36">
        <f>Augmentation_Data!P6</f>
        <v>3662.05</v>
      </c>
      <c r="BG26" s="36">
        <f>Augmentation_Data!Q6</f>
        <v>3532.45</v>
      </c>
      <c r="BH26" s="36">
        <f>Augmentation_Data!R6</f>
        <v>3300.8500000000004</v>
      </c>
      <c r="BX26"/>
    </row>
    <row r="27" spans="1:76" s="10" customFormat="1" ht="19.2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21"/>
      <c r="Y27" s="4"/>
      <c r="Z27"/>
      <c r="AA27"/>
      <c r="AK27"/>
      <c r="AL27"/>
      <c r="AM27"/>
      <c r="AN27"/>
      <c r="AO27"/>
      <c r="AP27"/>
      <c r="AQ27" s="4"/>
      <c r="AR27" s="30" t="s">
        <v>5</v>
      </c>
      <c r="AS27" s="30" t="s">
        <v>135</v>
      </c>
      <c r="AT27" s="57">
        <f>Augmentation_Data!D7</f>
        <v>1417.6399999999999</v>
      </c>
      <c r="AU27" s="57">
        <f>Augmentation_Data!E7</f>
        <v>1367.75</v>
      </c>
      <c r="AV27" s="57">
        <f>Augmentation_Data!F7</f>
        <v>1831.19</v>
      </c>
      <c r="AW27" s="57">
        <f>Augmentation_Data!G7</f>
        <v>2189.92</v>
      </c>
      <c r="AX27" s="57">
        <f>Augmentation_Data!H7</f>
        <v>2269.42</v>
      </c>
      <c r="AY27" s="57">
        <f>Augmentation_Data!I7</f>
        <v>780.75</v>
      </c>
      <c r="AZ27"/>
      <c r="BA27" s="15" t="s">
        <v>5</v>
      </c>
      <c r="BB27" s="15" t="s">
        <v>135</v>
      </c>
      <c r="BC27" s="36">
        <f>Augmentation_Data!M7</f>
        <v>978.27</v>
      </c>
      <c r="BD27" s="36">
        <f>Augmentation_Data!N7</f>
        <v>530.75</v>
      </c>
      <c r="BE27" s="36">
        <f>Augmentation_Data!O7</f>
        <v>747.85</v>
      </c>
      <c r="BF27" s="36">
        <f>Augmentation_Data!P7</f>
        <v>837.5</v>
      </c>
      <c r="BG27" s="36">
        <f>Augmentation_Data!Q7</f>
        <v>1149</v>
      </c>
      <c r="BH27" s="36">
        <f>Augmentation_Data!R7</f>
        <v>780.75</v>
      </c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X27"/>
    </row>
    <row r="28" spans="1:76" ht="14.55" customHeight="1">
      <c r="X28" s="21"/>
      <c r="AR28" s="30" t="s">
        <v>6</v>
      </c>
      <c r="AS28" s="30" t="s">
        <v>136</v>
      </c>
      <c r="AT28" s="57">
        <f>Augmentation_Data!D8</f>
        <v>2081</v>
      </c>
      <c r="AU28" s="57">
        <f>Augmentation_Data!E8</f>
        <v>945</v>
      </c>
      <c r="AV28" s="57">
        <f>Augmentation_Data!F8</f>
        <v>456.5</v>
      </c>
      <c r="AW28" s="57">
        <f>Augmentation_Data!G8</f>
        <v>456.25</v>
      </c>
      <c r="AX28" s="57">
        <f>Augmentation_Data!H8</f>
        <v>807.25</v>
      </c>
      <c r="AY28" s="57">
        <f>Augmentation_Data!I8</f>
        <v>176</v>
      </c>
      <c r="BA28" s="15" t="s">
        <v>6</v>
      </c>
      <c r="BB28" s="15" t="s">
        <v>136</v>
      </c>
      <c r="BC28" s="36">
        <f>Augmentation_Data!M8</f>
        <v>994</v>
      </c>
      <c r="BD28" s="36">
        <f>Augmentation_Data!N8</f>
        <v>774.5</v>
      </c>
      <c r="BE28" s="36">
        <f>Augmentation_Data!O8</f>
        <v>303.5</v>
      </c>
      <c r="BF28" s="36">
        <f>Augmentation_Data!P8</f>
        <v>180.5</v>
      </c>
      <c r="BG28" s="36">
        <f>Augmentation_Data!Q8</f>
        <v>396.5</v>
      </c>
      <c r="BH28" s="36">
        <f>Augmentation_Data!R8</f>
        <v>176</v>
      </c>
      <c r="BX28"/>
    </row>
    <row r="29" spans="1:76" ht="14.55" customHeight="1">
      <c r="X29" s="21"/>
      <c r="AR29" s="30" t="s">
        <v>7</v>
      </c>
      <c r="AS29" s="30" t="s">
        <v>137</v>
      </c>
      <c r="AT29" s="57">
        <f>Augmentation_Data!D9</f>
        <v>1469.5</v>
      </c>
      <c r="AU29" s="57">
        <f>Augmentation_Data!E9</f>
        <v>173</v>
      </c>
      <c r="AV29" s="57">
        <f>Augmentation_Data!F9</f>
        <v>1036</v>
      </c>
      <c r="AW29" s="57">
        <f>Augmentation_Data!G9</f>
        <v>1011.5</v>
      </c>
      <c r="AX29" s="57">
        <f>Augmentation_Data!H9</f>
        <v>1309.5</v>
      </c>
      <c r="AY29" s="57">
        <f>Augmentation_Data!I9</f>
        <v>775.5</v>
      </c>
      <c r="BA29" s="15" t="s">
        <v>7</v>
      </c>
      <c r="BB29" s="15" t="s">
        <v>137</v>
      </c>
      <c r="BC29" s="36">
        <f>Augmentation_Data!M9</f>
        <v>822.5</v>
      </c>
      <c r="BD29" s="36">
        <f>Augmentation_Data!N9</f>
        <v>20.5</v>
      </c>
      <c r="BE29" s="36">
        <f>Augmentation_Data!O9</f>
        <v>695</v>
      </c>
      <c r="BF29" s="36">
        <f>Augmentation_Data!P9</f>
        <v>247</v>
      </c>
      <c r="BG29" s="36">
        <f>Augmentation_Data!Q9</f>
        <v>882</v>
      </c>
      <c r="BH29" s="36">
        <f>Augmentation_Data!R9</f>
        <v>775.5</v>
      </c>
      <c r="BX29"/>
    </row>
    <row r="30" spans="1:76" ht="14.55" customHeight="1">
      <c r="X30" s="21"/>
      <c r="Y30" s="6"/>
      <c r="AQ30" s="6"/>
      <c r="AR30" s="30" t="s">
        <v>8</v>
      </c>
      <c r="AS30" s="30" t="s">
        <v>138</v>
      </c>
      <c r="AT30" s="57">
        <f>Augmentation_Data!D10</f>
        <v>2491.65</v>
      </c>
      <c r="AU30" s="57">
        <f>Augmentation_Data!E10</f>
        <v>4545.1999999999989</v>
      </c>
      <c r="AV30" s="57">
        <f>Augmentation_Data!F10</f>
        <v>4392.05</v>
      </c>
      <c r="AW30" s="57">
        <f>Augmentation_Data!G10</f>
        <v>2561.2599999999998</v>
      </c>
      <c r="AX30" s="57">
        <f>Augmentation_Data!H10</f>
        <v>2303.29</v>
      </c>
      <c r="AY30" s="57">
        <f>Augmentation_Data!I10</f>
        <v>732.66</v>
      </c>
      <c r="BA30" s="15" t="s">
        <v>8</v>
      </c>
      <c r="BB30" s="15" t="s">
        <v>138</v>
      </c>
      <c r="BC30" s="36">
        <f>Augmentation_Data!M10</f>
        <v>755.95</v>
      </c>
      <c r="BD30" s="36">
        <f>Augmentation_Data!N10</f>
        <v>1774.7500000000002</v>
      </c>
      <c r="BE30" s="36">
        <f>Augmentation_Data!O10</f>
        <v>3119.8199999999997</v>
      </c>
      <c r="BF30" s="36">
        <f>Augmentation_Data!P10</f>
        <v>1468.7</v>
      </c>
      <c r="BG30" s="36">
        <f>Augmentation_Data!Q10</f>
        <v>1523.8</v>
      </c>
      <c r="BH30" s="36">
        <f>Augmentation_Data!R10</f>
        <v>732.66</v>
      </c>
      <c r="BX30"/>
    </row>
    <row r="31" spans="1:76" ht="14.55" customHeight="1">
      <c r="X31" s="21"/>
      <c r="AR31" s="30" t="s">
        <v>9</v>
      </c>
      <c r="AS31" s="30" t="s">
        <v>139</v>
      </c>
      <c r="AT31" s="57">
        <f>Augmentation_Data!D11</f>
        <v>1093.75</v>
      </c>
      <c r="AU31" s="57">
        <f>Augmentation_Data!E11</f>
        <v>1082.5</v>
      </c>
      <c r="AV31" s="57">
        <f>Augmentation_Data!F11</f>
        <v>1094.5</v>
      </c>
      <c r="AW31" s="57">
        <f>Augmentation_Data!G11</f>
        <v>1406.25</v>
      </c>
      <c r="AX31" s="57">
        <f>Augmentation_Data!H11</f>
        <v>1277.31</v>
      </c>
      <c r="AY31" s="57">
        <f>Augmentation_Data!I11</f>
        <v>319.75</v>
      </c>
      <c r="BA31" s="15" t="s">
        <v>9</v>
      </c>
      <c r="BB31" s="15" t="s">
        <v>139</v>
      </c>
      <c r="BC31" s="36">
        <f>Augmentation_Data!M11</f>
        <v>415.5</v>
      </c>
      <c r="BD31" s="36">
        <f>Augmentation_Data!N11</f>
        <v>473.75</v>
      </c>
      <c r="BE31" s="36">
        <f>Augmentation_Data!O11</f>
        <v>513.75</v>
      </c>
      <c r="BF31" s="36">
        <f>Augmentation_Data!P11</f>
        <v>785</v>
      </c>
      <c r="BG31" s="36">
        <f>Augmentation_Data!Q11</f>
        <v>650.26</v>
      </c>
      <c r="BH31" s="36">
        <f>Augmentation_Data!R11</f>
        <v>319.75</v>
      </c>
      <c r="BX31"/>
    </row>
    <row r="32" spans="1:76" ht="14.55" customHeight="1">
      <c r="X32" s="21"/>
      <c r="Y32" s="7"/>
      <c r="AQ32" s="7"/>
      <c r="AR32" s="30" t="s">
        <v>10</v>
      </c>
      <c r="AS32" s="30" t="s">
        <v>140</v>
      </c>
      <c r="AT32" s="57">
        <f>Augmentation_Data!D12</f>
        <v>114</v>
      </c>
      <c r="AU32" s="57">
        <f>Augmentation_Data!E12</f>
        <v>181</v>
      </c>
      <c r="AV32" s="57">
        <f>Augmentation_Data!F12</f>
        <v>1541.34</v>
      </c>
      <c r="AW32" s="57">
        <f>Augmentation_Data!G12</f>
        <v>1661.75</v>
      </c>
      <c r="AX32" s="57">
        <f>Augmentation_Data!H12</f>
        <v>1165.75</v>
      </c>
      <c r="AY32" s="57">
        <f>Augmentation_Data!I12</f>
        <v>979.5</v>
      </c>
      <c r="BA32" s="15" t="s">
        <v>10</v>
      </c>
      <c r="BB32" s="15" t="s">
        <v>140</v>
      </c>
      <c r="BC32" s="36">
        <f>Augmentation_Data!M12</f>
        <v>99</v>
      </c>
      <c r="BD32" s="36">
        <f>Augmentation_Data!N12</f>
        <v>65</v>
      </c>
      <c r="BE32" s="36">
        <f>Augmentation_Data!O12</f>
        <v>1341</v>
      </c>
      <c r="BF32" s="36">
        <f>Augmentation_Data!P12</f>
        <v>899.75</v>
      </c>
      <c r="BG32" s="36">
        <f>Augmentation_Data!Q12</f>
        <v>428.25</v>
      </c>
      <c r="BH32" s="36">
        <f>Augmentation_Data!R12</f>
        <v>979.5</v>
      </c>
      <c r="BX32"/>
    </row>
    <row r="33" spans="24:76" ht="14.55" customHeight="1">
      <c r="X33" s="21"/>
      <c r="AR33" s="30" t="s">
        <v>11</v>
      </c>
      <c r="AS33" s="30" t="s">
        <v>141</v>
      </c>
      <c r="AT33" s="57">
        <f>Augmentation_Data!D13</f>
        <v>217</v>
      </c>
      <c r="AU33" s="57">
        <f>Augmentation_Data!E13</f>
        <v>637</v>
      </c>
      <c r="AV33" s="57">
        <f>Augmentation_Data!F13</f>
        <v>2100.5</v>
      </c>
      <c r="AW33" s="57">
        <f>Augmentation_Data!G13</f>
        <v>464.2</v>
      </c>
      <c r="AX33" s="57">
        <f>Augmentation_Data!H13</f>
        <v>1849.55</v>
      </c>
      <c r="AY33" s="57">
        <f>Augmentation_Data!I13</f>
        <v>263</v>
      </c>
      <c r="BA33" s="15" t="s">
        <v>11</v>
      </c>
      <c r="BB33" s="15" t="s">
        <v>141</v>
      </c>
      <c r="BC33" s="36">
        <f>Augmentation_Data!M13</f>
        <v>25.5</v>
      </c>
      <c r="BD33" s="36">
        <f>Augmentation_Data!N13</f>
        <v>216</v>
      </c>
      <c r="BE33" s="36">
        <f>Augmentation_Data!O13</f>
        <v>608.5</v>
      </c>
      <c r="BF33" s="36">
        <f>Augmentation_Data!P13</f>
        <v>208.7</v>
      </c>
      <c r="BG33" s="36">
        <f>Augmentation_Data!Q13</f>
        <v>714.1</v>
      </c>
      <c r="BH33" s="36">
        <f>Augmentation_Data!R13</f>
        <v>263</v>
      </c>
      <c r="BX33"/>
    </row>
    <row r="34" spans="24:76" ht="14.55" customHeight="1">
      <c r="X34" s="21"/>
      <c r="AR34" s="30" t="s">
        <v>12</v>
      </c>
      <c r="AS34" s="30" t="s">
        <v>142</v>
      </c>
      <c r="AT34" s="57">
        <f>Augmentation_Data!D14</f>
        <v>759.3</v>
      </c>
      <c r="AU34" s="57">
        <f>Augmentation_Data!E14</f>
        <v>459.05</v>
      </c>
      <c r="AV34" s="57">
        <f>Augmentation_Data!F14</f>
        <v>3603.1499999999996</v>
      </c>
      <c r="AW34" s="57">
        <f>Augmentation_Data!G14</f>
        <v>2834.55</v>
      </c>
      <c r="AX34" s="57">
        <f>Augmentation_Data!H14</f>
        <v>3281.4</v>
      </c>
      <c r="AY34" s="57">
        <f>Augmentation_Data!I14</f>
        <v>1282.5</v>
      </c>
      <c r="BA34" s="15" t="s">
        <v>12</v>
      </c>
      <c r="BB34" s="15" t="s">
        <v>142</v>
      </c>
      <c r="BC34" s="36">
        <f>Augmentation_Data!M14</f>
        <v>229</v>
      </c>
      <c r="BD34" s="36">
        <f>Augmentation_Data!N14</f>
        <v>215.25</v>
      </c>
      <c r="BE34" s="36">
        <f>Augmentation_Data!O14</f>
        <v>1268.0500000000002</v>
      </c>
      <c r="BF34" s="36">
        <f>Augmentation_Data!P14</f>
        <v>1470.8500000000001</v>
      </c>
      <c r="BG34" s="36">
        <f>Augmentation_Data!Q14</f>
        <v>1539.25</v>
      </c>
      <c r="BH34" s="36">
        <f>Augmentation_Data!R14</f>
        <v>1282.5</v>
      </c>
      <c r="BX34"/>
    </row>
    <row r="35" spans="24:76" ht="14.55" customHeight="1">
      <c r="X35" s="21"/>
      <c r="AR35" s="30" t="s">
        <v>13</v>
      </c>
      <c r="AS35" s="30" t="s">
        <v>143</v>
      </c>
      <c r="AT35" s="57">
        <f>Augmentation_Data!D15</f>
        <v>4375.5</v>
      </c>
      <c r="AU35" s="57">
        <f>Augmentation_Data!E15</f>
        <v>3467.4700000000003</v>
      </c>
      <c r="AV35" s="57">
        <f>Augmentation_Data!F15</f>
        <v>1727.5</v>
      </c>
      <c r="AW35" s="57">
        <f>Augmentation_Data!G15</f>
        <v>2139.4499999999998</v>
      </c>
      <c r="AX35" s="57">
        <f>Augmentation_Data!H15</f>
        <v>3750.25</v>
      </c>
      <c r="AY35" s="57">
        <f>Augmentation_Data!I15</f>
        <v>886.75</v>
      </c>
      <c r="BA35" s="15" t="s">
        <v>13</v>
      </c>
      <c r="BB35" s="15" t="s">
        <v>143</v>
      </c>
      <c r="BC35" s="36">
        <f>Augmentation_Data!M15</f>
        <v>338</v>
      </c>
      <c r="BD35" s="36">
        <f>Augmentation_Data!N15</f>
        <v>2079.4700000000003</v>
      </c>
      <c r="BE35" s="36">
        <f>Augmentation_Data!O15</f>
        <v>996</v>
      </c>
      <c r="BF35" s="36">
        <f>Augmentation_Data!P15</f>
        <v>927.5</v>
      </c>
      <c r="BG35" s="36">
        <f>Augmentation_Data!Q15</f>
        <v>1277.75</v>
      </c>
      <c r="BH35" s="36">
        <f>Augmentation_Data!R15</f>
        <v>886.75</v>
      </c>
      <c r="BX35"/>
    </row>
    <row r="36" spans="24:76" ht="14.55" customHeight="1">
      <c r="X36" s="21"/>
      <c r="AR36" s="30" t="s">
        <v>14</v>
      </c>
      <c r="AS36" s="30" t="s">
        <v>144</v>
      </c>
      <c r="AT36" s="57">
        <f>Augmentation_Data!D16</f>
        <v>390.59000000000003</v>
      </c>
      <c r="AU36" s="57">
        <f>Augmentation_Data!E16</f>
        <v>510.5</v>
      </c>
      <c r="AV36" s="57">
        <f>Augmentation_Data!F16</f>
        <v>388.5</v>
      </c>
      <c r="AW36" s="57">
        <f>Augmentation_Data!G16</f>
        <v>299.25</v>
      </c>
      <c r="AX36" s="57">
        <f>Augmentation_Data!H16</f>
        <v>358</v>
      </c>
      <c r="AY36" s="57">
        <f>Augmentation_Data!I16</f>
        <v>487.5</v>
      </c>
      <c r="BA36" s="15" t="s">
        <v>14</v>
      </c>
      <c r="BB36" s="15" t="s">
        <v>144</v>
      </c>
      <c r="BC36" s="36">
        <f>Augmentation_Data!M16</f>
        <v>234.92000000000002</v>
      </c>
      <c r="BD36" s="36">
        <f>Augmentation_Data!N16</f>
        <v>239.92000000000002</v>
      </c>
      <c r="BE36" s="36">
        <f>Augmentation_Data!O16</f>
        <v>295</v>
      </c>
      <c r="BF36" s="36">
        <f>Augmentation_Data!P16</f>
        <v>158.75</v>
      </c>
      <c r="BG36" s="36">
        <f>Augmentation_Data!Q16</f>
        <v>114</v>
      </c>
      <c r="BH36" s="36">
        <f>Augmentation_Data!R16</f>
        <v>487.5</v>
      </c>
      <c r="BX36"/>
    </row>
    <row r="37" spans="24:76" ht="14.55" customHeight="1">
      <c r="X37" s="21"/>
      <c r="AR37" s="30" t="s">
        <v>15</v>
      </c>
      <c r="AS37" s="30" t="s">
        <v>145</v>
      </c>
      <c r="AT37" s="57">
        <f>Augmentation_Data!D17</f>
        <v>2141.5</v>
      </c>
      <c r="AU37" s="57">
        <f>Augmentation_Data!E17</f>
        <v>4469.25</v>
      </c>
      <c r="AV37" s="57">
        <f>Augmentation_Data!F17</f>
        <v>4100.5</v>
      </c>
      <c r="AW37" s="57">
        <f>Augmentation_Data!G17</f>
        <v>1776</v>
      </c>
      <c r="AX37" s="57">
        <f>Augmentation_Data!H17</f>
        <v>1292.5</v>
      </c>
      <c r="AY37" s="57">
        <f>Augmentation_Data!I17</f>
        <v>0</v>
      </c>
      <c r="BA37" s="15" t="s">
        <v>15</v>
      </c>
      <c r="BB37" s="15" t="s">
        <v>145</v>
      </c>
      <c r="BC37" s="36">
        <f>Augmentation_Data!M17</f>
        <v>456</v>
      </c>
      <c r="BD37" s="36">
        <f>Augmentation_Data!N17</f>
        <v>2537.5</v>
      </c>
      <c r="BE37" s="36">
        <f>Augmentation_Data!O17</f>
        <v>2572.5</v>
      </c>
      <c r="BF37" s="36">
        <f>Augmentation_Data!P17</f>
        <v>1413.5</v>
      </c>
      <c r="BG37" s="36">
        <f>Augmentation_Data!Q17</f>
        <v>887</v>
      </c>
      <c r="BH37" s="36">
        <f>Augmentation_Data!R17</f>
        <v>0</v>
      </c>
      <c r="BX37"/>
    </row>
    <row r="38" spans="24:76" ht="14.55" customHeight="1">
      <c r="X38" s="21"/>
      <c r="AR38" s="30" t="s">
        <v>27</v>
      </c>
      <c r="AS38" s="30" t="s">
        <v>29</v>
      </c>
      <c r="AT38" s="57">
        <f>Augmentation_Data!D18</f>
        <v>31483.02</v>
      </c>
      <c r="AU38" s="57">
        <f>Augmentation_Data!E18</f>
        <v>40243.389999999992</v>
      </c>
      <c r="AV38" s="57">
        <f>Augmentation_Data!F18</f>
        <v>49499.1</v>
      </c>
      <c r="AW38" s="57">
        <f>Augmentation_Data!G18</f>
        <v>36873.15</v>
      </c>
      <c r="AX38" s="57">
        <f>Augmentation_Data!H18</f>
        <v>39299.950000000004</v>
      </c>
      <c r="AY38" s="57">
        <f>Augmentation_Data!I18</f>
        <v>15326.28</v>
      </c>
      <c r="BA38" s="15" t="s">
        <v>27</v>
      </c>
      <c r="BB38" s="14" t="s">
        <v>29</v>
      </c>
      <c r="BC38" s="36">
        <f>Augmentation_Data!M18</f>
        <v>10010.880000000001</v>
      </c>
      <c r="BD38" s="36">
        <f>Augmentation_Data!N18</f>
        <v>21368.989999999998</v>
      </c>
      <c r="BE38" s="36">
        <f>Augmentation_Data!O18</f>
        <v>26512.48</v>
      </c>
      <c r="BF38" s="36">
        <f>Augmentation_Data!P18</f>
        <v>18663.07</v>
      </c>
      <c r="BG38" s="36">
        <f>Augmentation_Data!Q18</f>
        <v>19225.72</v>
      </c>
      <c r="BH38" s="36">
        <f>Augmentation_Data!R18</f>
        <v>15326.28</v>
      </c>
      <c r="BX38"/>
    </row>
    <row r="39" spans="24:76" ht="14.55" customHeight="1">
      <c r="X39" s="21"/>
      <c r="AR39"/>
      <c r="BX39"/>
    </row>
    <row r="40" spans="24:76" ht="14.55" customHeight="1">
      <c r="X40" s="21"/>
      <c r="AR40"/>
      <c r="BX40"/>
    </row>
    <row r="41" spans="24:76" ht="14.55" customHeight="1">
      <c r="X41" s="21"/>
      <c r="AR41" s="30" t="s">
        <v>21</v>
      </c>
      <c r="AS41" s="30" t="s">
        <v>20</v>
      </c>
      <c r="AT41" s="30" t="s">
        <v>30</v>
      </c>
      <c r="AU41" s="30" t="s">
        <v>22</v>
      </c>
      <c r="AV41" s="30" t="s">
        <v>39</v>
      </c>
      <c r="AW41" s="30" t="s">
        <v>40</v>
      </c>
      <c r="AX41" s="30" t="s">
        <v>41</v>
      </c>
      <c r="AY41" s="30" t="s">
        <v>42</v>
      </c>
      <c r="AZ41" s="17"/>
      <c r="BA41" s="12" t="s">
        <v>21</v>
      </c>
      <c r="BB41" s="12" t="s">
        <v>20</v>
      </c>
      <c r="BC41" s="12" t="s">
        <v>30</v>
      </c>
      <c r="BD41" s="12" t="s">
        <v>22</v>
      </c>
      <c r="BE41" s="12" t="s">
        <v>39</v>
      </c>
      <c r="BF41" s="12" t="s">
        <v>40</v>
      </c>
      <c r="BG41" s="12" t="s">
        <v>41</v>
      </c>
      <c r="BH41" s="12" t="s">
        <v>42</v>
      </c>
      <c r="BX41"/>
    </row>
    <row r="42" spans="24:76" ht="14.55" customHeight="1">
      <c r="X42" s="37"/>
      <c r="AR42" s="30" t="s">
        <v>0</v>
      </c>
      <c r="AS42" s="30" t="s">
        <v>131</v>
      </c>
      <c r="AT42" s="57">
        <f>Augmentation_Data!D22</f>
        <v>760.2</v>
      </c>
      <c r="AU42" s="57">
        <f>Augmentation_Data!E22</f>
        <v>973.5</v>
      </c>
      <c r="AV42" s="57">
        <f>Augmentation_Data!F22</f>
        <v>1737</v>
      </c>
      <c r="AW42" s="57">
        <f>Augmentation_Data!G22</f>
        <v>764</v>
      </c>
      <c r="AX42" s="57">
        <f>Augmentation_Data!H22</f>
        <v>668.5</v>
      </c>
      <c r="AY42" s="57">
        <f>Augmentation_Data!I22</f>
        <v>118.5</v>
      </c>
      <c r="BA42" s="15" t="s">
        <v>0</v>
      </c>
      <c r="BB42" s="15" t="s">
        <v>131</v>
      </c>
      <c r="BC42" s="36">
        <f>Augmentation_Data!M22</f>
        <v>332.2</v>
      </c>
      <c r="BD42" s="36">
        <f>Augmentation_Data!N22</f>
        <v>391.5</v>
      </c>
      <c r="BE42" s="36">
        <f>Augmentation_Data!O22</f>
        <v>1228.5</v>
      </c>
      <c r="BF42" s="36">
        <f>Augmentation_Data!P22</f>
        <v>507</v>
      </c>
      <c r="BG42" s="36">
        <f>Augmentation_Data!Q22</f>
        <v>355.5</v>
      </c>
      <c r="BH42" s="36">
        <f>Augmentation_Data!R22</f>
        <v>118.5</v>
      </c>
      <c r="BV42" s="10"/>
      <c r="BX42"/>
    </row>
    <row r="43" spans="24:76" ht="14.55" customHeight="1">
      <c r="X43" s="21"/>
      <c r="AR43" s="30" t="s">
        <v>1</v>
      </c>
      <c r="AS43" s="30" t="s">
        <v>130</v>
      </c>
      <c r="AT43" s="57">
        <f>Augmentation_Data!D23</f>
        <v>16</v>
      </c>
      <c r="AU43" s="57">
        <f>Augmentation_Data!E23</f>
        <v>70</v>
      </c>
      <c r="AV43" s="57">
        <f>Augmentation_Data!F23</f>
        <v>700</v>
      </c>
      <c r="AW43" s="57">
        <f>Augmentation_Data!G23</f>
        <v>485</v>
      </c>
      <c r="AX43" s="57">
        <f>Augmentation_Data!H23</f>
        <v>316</v>
      </c>
      <c r="AY43" s="57">
        <f>Augmentation_Data!I23</f>
        <v>126</v>
      </c>
      <c r="BA43" s="15" t="s">
        <v>1</v>
      </c>
      <c r="BB43" s="15" t="s">
        <v>130</v>
      </c>
      <c r="BC43" s="36">
        <f>Augmentation_Data!M23</f>
        <v>1</v>
      </c>
      <c r="BD43" s="36">
        <f>Augmentation_Data!N23</f>
        <v>36</v>
      </c>
      <c r="BE43" s="36">
        <f>Augmentation_Data!O23</f>
        <v>359</v>
      </c>
      <c r="BF43" s="36">
        <f>Augmentation_Data!P23</f>
        <v>166</v>
      </c>
      <c r="BG43" s="36">
        <f>Augmentation_Data!Q23</f>
        <v>173</v>
      </c>
      <c r="BH43" s="36">
        <f>Augmentation_Data!R23</f>
        <v>126</v>
      </c>
      <c r="BX43"/>
    </row>
    <row r="44" spans="24:76" ht="14.55" customHeight="1">
      <c r="X44" s="21"/>
      <c r="AR44" s="30" t="s">
        <v>2</v>
      </c>
      <c r="AS44" s="30" t="s">
        <v>132</v>
      </c>
      <c r="AT44" s="57">
        <f>Augmentation_Data!D24</f>
        <v>0</v>
      </c>
      <c r="AU44" s="57">
        <f>Augmentation_Data!E24</f>
        <v>129</v>
      </c>
      <c r="AV44" s="57">
        <f>Augmentation_Data!F24</f>
        <v>447.5</v>
      </c>
      <c r="AW44" s="57">
        <f>Augmentation_Data!G24</f>
        <v>633.5</v>
      </c>
      <c r="AX44" s="57">
        <f>Augmentation_Data!H24</f>
        <v>654.25</v>
      </c>
      <c r="AY44" s="57">
        <f>Augmentation_Data!I24</f>
        <v>280</v>
      </c>
      <c r="BA44" s="15" t="s">
        <v>2</v>
      </c>
      <c r="BB44" s="15" t="s">
        <v>132</v>
      </c>
      <c r="BC44" s="36">
        <f>Augmentation_Data!M24</f>
        <v>0</v>
      </c>
      <c r="BD44" s="36">
        <f>Augmentation_Data!N24</f>
        <v>24</v>
      </c>
      <c r="BE44" s="36">
        <f>Augmentation_Data!O24</f>
        <v>210</v>
      </c>
      <c r="BF44" s="36">
        <f>Augmentation_Data!P24</f>
        <v>298.5</v>
      </c>
      <c r="BG44" s="36">
        <f>Augmentation_Data!Q24</f>
        <v>361</v>
      </c>
      <c r="BH44" s="36">
        <f>Augmentation_Data!R24</f>
        <v>280</v>
      </c>
      <c r="BX44"/>
    </row>
    <row r="45" spans="24:76" ht="14.55" customHeight="1">
      <c r="X45" s="21"/>
      <c r="AR45" s="30" t="s">
        <v>3</v>
      </c>
      <c r="AS45" s="30" t="s">
        <v>133</v>
      </c>
      <c r="AT45" s="57">
        <f>Augmentation_Data!D25</f>
        <v>1203</v>
      </c>
      <c r="AU45" s="57">
        <f>Augmentation_Data!E25</f>
        <v>1097.5</v>
      </c>
      <c r="AV45" s="57">
        <f>Augmentation_Data!F25</f>
        <v>1580.5</v>
      </c>
      <c r="AW45" s="57">
        <f>Augmentation_Data!G25</f>
        <v>1847.5</v>
      </c>
      <c r="AX45" s="57">
        <f>Augmentation_Data!H25</f>
        <v>744</v>
      </c>
      <c r="AY45" s="57">
        <f>Augmentation_Data!I25</f>
        <v>186</v>
      </c>
      <c r="BA45" s="15" t="s">
        <v>3</v>
      </c>
      <c r="BB45" s="15" t="s">
        <v>133</v>
      </c>
      <c r="BC45" s="36">
        <f>Augmentation_Data!M25</f>
        <v>826.5</v>
      </c>
      <c r="BD45" s="36">
        <f>Augmentation_Data!N25</f>
        <v>585.5</v>
      </c>
      <c r="BE45" s="36">
        <f>Augmentation_Data!O25</f>
        <v>530.75</v>
      </c>
      <c r="BF45" s="36">
        <f>Augmentation_Data!P25</f>
        <v>1251</v>
      </c>
      <c r="BG45" s="36">
        <f>Augmentation_Data!Q25</f>
        <v>431.5</v>
      </c>
      <c r="BH45" s="36">
        <f>Augmentation_Data!R25</f>
        <v>186</v>
      </c>
      <c r="BX45"/>
    </row>
    <row r="46" spans="24:76" ht="14.55" customHeight="1">
      <c r="X46" s="21"/>
      <c r="AR46" s="30" t="s">
        <v>4</v>
      </c>
      <c r="AS46" s="30" t="s">
        <v>134</v>
      </c>
      <c r="AT46" s="57">
        <f>Augmentation_Data!D26</f>
        <v>2576</v>
      </c>
      <c r="AU46" s="57">
        <f>Augmentation_Data!E26</f>
        <v>2948.5</v>
      </c>
      <c r="AV46" s="57">
        <f>Augmentation_Data!F26</f>
        <v>5315.7</v>
      </c>
      <c r="AW46" s="57">
        <f>Augmentation_Data!G26</f>
        <v>6605.8799999999992</v>
      </c>
      <c r="AX46" s="57">
        <f>Augmentation_Data!H26</f>
        <v>6420.75</v>
      </c>
      <c r="AY46" s="57">
        <f>Augmentation_Data!I26</f>
        <v>3944.1499999999996</v>
      </c>
      <c r="BA46" s="15" t="s">
        <v>4</v>
      </c>
      <c r="BB46" s="15" t="s">
        <v>134</v>
      </c>
      <c r="BC46" s="36">
        <f>Augmentation_Data!M26</f>
        <v>1299.5</v>
      </c>
      <c r="BD46" s="36">
        <f>Augmentation_Data!N26</f>
        <v>1468.5</v>
      </c>
      <c r="BE46" s="36">
        <f>Augmentation_Data!O26</f>
        <v>3552.45</v>
      </c>
      <c r="BF46" s="36">
        <f>Augmentation_Data!P26</f>
        <v>4495.2800000000007</v>
      </c>
      <c r="BG46" s="36">
        <f>Augmentation_Data!Q26</f>
        <v>2320</v>
      </c>
      <c r="BH46" s="36">
        <f>Augmentation_Data!R26</f>
        <v>3944.1499999999996</v>
      </c>
      <c r="BX46"/>
    </row>
    <row r="47" spans="24:76" ht="14.55" customHeight="1">
      <c r="X47" s="21"/>
      <c r="AR47" s="30" t="s">
        <v>5</v>
      </c>
      <c r="AS47" s="30" t="s">
        <v>135</v>
      </c>
      <c r="AT47" s="57">
        <f>Augmentation_Data!D27</f>
        <v>360.75</v>
      </c>
      <c r="AU47" s="57">
        <f>Augmentation_Data!E27</f>
        <v>484.75</v>
      </c>
      <c r="AV47" s="57">
        <f>Augmentation_Data!F27</f>
        <v>798.5</v>
      </c>
      <c r="AW47" s="57">
        <f>Augmentation_Data!G27</f>
        <v>449</v>
      </c>
      <c r="AX47" s="57">
        <f>Augmentation_Data!H27</f>
        <v>786.25</v>
      </c>
      <c r="AY47" s="57">
        <f>Augmentation_Data!I27</f>
        <v>197</v>
      </c>
      <c r="BA47" s="15" t="s">
        <v>5</v>
      </c>
      <c r="BB47" s="15" t="s">
        <v>135</v>
      </c>
      <c r="BC47" s="36">
        <f>Augmentation_Data!M27</f>
        <v>239</v>
      </c>
      <c r="BD47" s="36">
        <f>Augmentation_Data!N27</f>
        <v>120.5</v>
      </c>
      <c r="BE47" s="36">
        <f>Augmentation_Data!O27</f>
        <v>346.75</v>
      </c>
      <c r="BF47" s="36">
        <f>Augmentation_Data!P27</f>
        <v>272.25</v>
      </c>
      <c r="BG47" s="36">
        <f>Augmentation_Data!Q27</f>
        <v>251</v>
      </c>
      <c r="BH47" s="36">
        <f>Augmentation_Data!R27</f>
        <v>197</v>
      </c>
      <c r="BX47"/>
    </row>
    <row r="48" spans="24:76" ht="14.55" customHeight="1">
      <c r="X48" s="21"/>
      <c r="AR48" s="30" t="s">
        <v>6</v>
      </c>
      <c r="AS48" s="30" t="s">
        <v>136</v>
      </c>
      <c r="AT48" s="57">
        <f>Augmentation_Data!D28</f>
        <v>277.5</v>
      </c>
      <c r="AU48" s="57">
        <f>Augmentation_Data!E28</f>
        <v>133.5</v>
      </c>
      <c r="AV48" s="57">
        <f>Augmentation_Data!F28</f>
        <v>427</v>
      </c>
      <c r="AW48" s="57">
        <f>Augmentation_Data!G28</f>
        <v>264.7</v>
      </c>
      <c r="AX48" s="57">
        <f>Augmentation_Data!H28</f>
        <v>227.5</v>
      </c>
      <c r="AY48" s="57">
        <f>Augmentation_Data!I28</f>
        <v>29</v>
      </c>
      <c r="BA48" s="15" t="s">
        <v>6</v>
      </c>
      <c r="BB48" s="15" t="s">
        <v>136</v>
      </c>
      <c r="BC48" s="36">
        <f>Augmentation_Data!M28</f>
        <v>113</v>
      </c>
      <c r="BD48" s="36">
        <f>Augmentation_Data!N28</f>
        <v>69.5</v>
      </c>
      <c r="BE48" s="36">
        <f>Augmentation_Data!O28</f>
        <v>189.5</v>
      </c>
      <c r="BF48" s="36">
        <f>Augmentation_Data!P28</f>
        <v>134.25</v>
      </c>
      <c r="BG48" s="36">
        <f>Augmentation_Data!Q28</f>
        <v>139.75</v>
      </c>
      <c r="BH48" s="36">
        <f>Augmentation_Data!R28</f>
        <v>29</v>
      </c>
      <c r="BX48"/>
    </row>
    <row r="49" spans="1:76" ht="14.55" customHeight="1">
      <c r="X49" s="21"/>
      <c r="AR49" s="30" t="s">
        <v>7</v>
      </c>
      <c r="AS49" s="30" t="s">
        <v>137</v>
      </c>
      <c r="AT49" s="57">
        <f>Augmentation_Data!D29</f>
        <v>125.75</v>
      </c>
      <c r="AU49" s="57">
        <f>Augmentation_Data!E29</f>
        <v>38</v>
      </c>
      <c r="AV49" s="57">
        <f>Augmentation_Data!F29</f>
        <v>61.5</v>
      </c>
      <c r="AW49" s="57">
        <f>Augmentation_Data!G29</f>
        <v>609.5</v>
      </c>
      <c r="AX49" s="57">
        <f>Augmentation_Data!H29</f>
        <v>409.75</v>
      </c>
      <c r="AY49" s="57">
        <f>Augmentation_Data!I29</f>
        <v>36.5</v>
      </c>
      <c r="BA49" s="15" t="s">
        <v>7</v>
      </c>
      <c r="BB49" s="15" t="s">
        <v>137</v>
      </c>
      <c r="BC49" s="36">
        <f>Augmentation_Data!M29</f>
        <v>77.25</v>
      </c>
      <c r="BD49" s="36">
        <f>Augmentation_Data!N29</f>
        <v>31</v>
      </c>
      <c r="BE49" s="36">
        <f>Augmentation_Data!O29</f>
        <v>29</v>
      </c>
      <c r="BF49" s="36">
        <f>Augmentation_Data!P29</f>
        <v>266</v>
      </c>
      <c r="BG49" s="36">
        <f>Augmentation_Data!Q29</f>
        <v>232.25</v>
      </c>
      <c r="BH49" s="36">
        <f>Augmentation_Data!R29</f>
        <v>36.5</v>
      </c>
      <c r="BX49"/>
    </row>
    <row r="50" spans="1:76" ht="14.55" customHeight="1">
      <c r="B50" s="4" t="str">
        <f t="array" ref="B50">IFERROR(INDEX(#REF!,SMALL(IF(#REF!=$BD$3,ROW(#REF!)-MIN(ROW(#REF!))+1),#REF!)), "")</f>
        <v/>
      </c>
      <c r="C50" s="4" t="str">
        <f t="array" ref="C50">IFERROR(INDEX(#REF!,SMALL(IF(#REF!=$BD$3,ROW(#REF!)-MIN(ROW(#REF!))+1),#REF!)), "")</f>
        <v/>
      </c>
      <c r="D50" s="4" t="str">
        <f t="array" ref="D50">IFERROR(INDEX(#REF!,SMALL(IF(#REF!=$BD$3,ROW(#REF!)-MIN(ROW(#REF!))+1),#REF!)), "")</f>
        <v/>
      </c>
      <c r="E50" s="4" t="str">
        <f t="array" ref="E50">IFERROR(INDEX(#REF!,SMALL(IF(#REF!=$BD$3,ROW(#REF!)-MIN(ROW(#REF!))+1),#REF!)), "")</f>
        <v/>
      </c>
      <c r="F50" s="4" t="str">
        <f t="array" ref="F50">IFERROR(INDEX(#REF!,SMALL(IF(#REF!=$BD$3,ROW(#REF!)-MIN(ROW(#REF!))+1),#REF!)), "")</f>
        <v/>
      </c>
      <c r="G50" s="4" t="str">
        <f t="array" ref="G50">IFERROR(INDEX(#REF!,SMALL(IF(#REF!=$BD$3,ROW(#REF!)-MIN(ROW(#REF!))+1),#REF!)), "")</f>
        <v/>
      </c>
      <c r="H50" s="4" t="str">
        <f t="array" ref="H50">IFERROR(INDEX(#REF!,SMALL(IF(#REF!=$BD$3,ROW(#REF!)-MIN(ROW(#REF!))+1),#REF!)), "")</f>
        <v/>
      </c>
      <c r="I50" s="4" t="str">
        <f t="array" ref="I50">IFERROR(INDEX(#REF!,SMALL(IF(#REF!=$BD$3,ROW(#REF!)-MIN(ROW(#REF!))+1),#REF!)), "")</f>
        <v/>
      </c>
      <c r="J50" s="4" t="str">
        <f t="array" ref="J50">IFERROR(INDEX(#REF!,SMALL(IF(#REF!=$BD$3,ROW(#REF!)-MIN(ROW(#REF!))+1),#REF!)), "")</f>
        <v/>
      </c>
      <c r="X50" s="21"/>
      <c r="AR50" s="30" t="s">
        <v>8</v>
      </c>
      <c r="AS50" s="30" t="s">
        <v>138</v>
      </c>
      <c r="AT50" s="57">
        <f>Augmentation_Data!D30</f>
        <v>358.25</v>
      </c>
      <c r="AU50" s="57">
        <f>Augmentation_Data!E30</f>
        <v>498.5</v>
      </c>
      <c r="AV50" s="57">
        <f>Augmentation_Data!F30</f>
        <v>361.63</v>
      </c>
      <c r="AW50" s="57">
        <f>Augmentation_Data!G30</f>
        <v>254.8</v>
      </c>
      <c r="AX50" s="57">
        <f>Augmentation_Data!H30</f>
        <v>770.5</v>
      </c>
      <c r="AY50" s="57">
        <f>Augmentation_Data!I30</f>
        <v>122</v>
      </c>
      <c r="BA50" s="15" t="s">
        <v>8</v>
      </c>
      <c r="BB50" s="15" t="s">
        <v>138</v>
      </c>
      <c r="BC50" s="36">
        <f>Augmentation_Data!M30</f>
        <v>91</v>
      </c>
      <c r="BD50" s="36">
        <f>Augmentation_Data!N30</f>
        <v>212</v>
      </c>
      <c r="BE50" s="36">
        <f>Augmentation_Data!O30</f>
        <v>306.63</v>
      </c>
      <c r="BF50" s="36">
        <f>Augmentation_Data!P30</f>
        <v>106</v>
      </c>
      <c r="BG50" s="36">
        <f>Augmentation_Data!Q30</f>
        <v>264</v>
      </c>
      <c r="BH50" s="36">
        <f>Augmentation_Data!R30</f>
        <v>122</v>
      </c>
      <c r="BX50"/>
    </row>
    <row r="51" spans="1:76" ht="14.25" customHeight="1">
      <c r="X51" s="21"/>
      <c r="AR51" s="30" t="s">
        <v>9</v>
      </c>
      <c r="AS51" s="30" t="s">
        <v>139</v>
      </c>
      <c r="AT51" s="57">
        <f>Augmentation_Data!D31</f>
        <v>0</v>
      </c>
      <c r="AU51" s="57">
        <f>Augmentation_Data!E31</f>
        <v>4.25</v>
      </c>
      <c r="AV51" s="57">
        <f>Augmentation_Data!F31</f>
        <v>57</v>
      </c>
      <c r="AW51" s="57">
        <f>Augmentation_Data!G31</f>
        <v>88</v>
      </c>
      <c r="AX51" s="57">
        <f>Augmentation_Data!H31</f>
        <v>58</v>
      </c>
      <c r="AY51" s="57">
        <f>Augmentation_Data!I31</f>
        <v>0</v>
      </c>
      <c r="BA51" s="15" t="s">
        <v>9</v>
      </c>
      <c r="BB51" s="15" t="s">
        <v>139</v>
      </c>
      <c r="BC51" s="36">
        <f>Augmentation_Data!M31</f>
        <v>0</v>
      </c>
      <c r="BD51" s="36">
        <f>Augmentation_Data!N31</f>
        <v>0</v>
      </c>
      <c r="BE51" s="36">
        <f>Augmentation_Data!O31</f>
        <v>0</v>
      </c>
      <c r="BF51" s="36">
        <f>Augmentation_Data!P31</f>
        <v>56</v>
      </c>
      <c r="BG51" s="36">
        <f>Augmentation_Data!Q31</f>
        <v>56</v>
      </c>
      <c r="BH51" s="36">
        <f>Augmentation_Data!R31</f>
        <v>0</v>
      </c>
      <c r="BX51"/>
    </row>
    <row r="52" spans="1:76" s="10" customFormat="1" ht="19.2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21"/>
      <c r="Y52" s="4"/>
      <c r="Z52"/>
      <c r="AA52"/>
      <c r="AK52"/>
      <c r="AL52"/>
      <c r="AM52"/>
      <c r="AN52"/>
      <c r="AO52"/>
      <c r="AP52"/>
      <c r="AQ52" s="4"/>
      <c r="AR52" s="30" t="s">
        <v>10</v>
      </c>
      <c r="AS52" s="30" t="s">
        <v>140</v>
      </c>
      <c r="AT52" s="57">
        <f>Augmentation_Data!D32</f>
        <v>0</v>
      </c>
      <c r="AU52" s="57">
        <f>Augmentation_Data!E32</f>
        <v>23</v>
      </c>
      <c r="AV52" s="57">
        <f>Augmentation_Data!F32</f>
        <v>163</v>
      </c>
      <c r="AW52" s="57">
        <f>Augmentation_Data!G32</f>
        <v>0</v>
      </c>
      <c r="AX52" s="57">
        <f>Augmentation_Data!H32</f>
        <v>185</v>
      </c>
      <c r="AY52" s="57">
        <f>Augmentation_Data!I32</f>
        <v>0</v>
      </c>
      <c r="AZ52"/>
      <c r="BA52" s="15" t="s">
        <v>10</v>
      </c>
      <c r="BB52" s="15" t="s">
        <v>140</v>
      </c>
      <c r="BC52" s="36">
        <f>Augmentation_Data!M32</f>
        <v>0</v>
      </c>
      <c r="BD52" s="36">
        <f>Augmentation_Data!N32</f>
        <v>0</v>
      </c>
      <c r="BE52" s="36">
        <f>Augmentation_Data!O32</f>
        <v>151</v>
      </c>
      <c r="BF52" s="36">
        <f>Augmentation_Data!P32</f>
        <v>0</v>
      </c>
      <c r="BG52" s="36">
        <f>Augmentation_Data!Q32</f>
        <v>3</v>
      </c>
      <c r="BH52" s="36">
        <f>Augmentation_Data!R32</f>
        <v>0</v>
      </c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X52"/>
    </row>
    <row r="53" spans="1:76" ht="14.55" customHeight="1">
      <c r="X53" s="21"/>
      <c r="AR53" s="30" t="s">
        <v>11</v>
      </c>
      <c r="AS53" s="30" t="s">
        <v>141</v>
      </c>
      <c r="AT53" s="57">
        <f>Augmentation_Data!D33</f>
        <v>615</v>
      </c>
      <c r="AU53" s="57">
        <f>Augmentation_Data!E33</f>
        <v>217.84</v>
      </c>
      <c r="AV53" s="57">
        <f>Augmentation_Data!F33</f>
        <v>333</v>
      </c>
      <c r="AW53" s="57">
        <f>Augmentation_Data!G33</f>
        <v>21.5</v>
      </c>
      <c r="AX53" s="57">
        <f>Augmentation_Data!H33</f>
        <v>67.069999999999993</v>
      </c>
      <c r="AY53" s="57">
        <f>Augmentation_Data!I33</f>
        <v>0</v>
      </c>
      <c r="BA53" s="15" t="s">
        <v>11</v>
      </c>
      <c r="BB53" s="15" t="s">
        <v>141</v>
      </c>
      <c r="BC53" s="36">
        <f>Augmentation_Data!M33</f>
        <v>385.25</v>
      </c>
      <c r="BD53" s="36">
        <f>Augmentation_Data!N33</f>
        <v>77.84</v>
      </c>
      <c r="BE53" s="36">
        <f>Augmentation_Data!O33</f>
        <v>323</v>
      </c>
      <c r="BF53" s="36">
        <f>Augmentation_Data!P33</f>
        <v>0</v>
      </c>
      <c r="BG53" s="36">
        <f>Augmentation_Data!Q33</f>
        <v>26.5</v>
      </c>
      <c r="BH53" s="36">
        <f>Augmentation_Data!R33</f>
        <v>0</v>
      </c>
      <c r="BX53"/>
    </row>
    <row r="54" spans="1:76" ht="14.55" customHeight="1">
      <c r="X54" s="21"/>
      <c r="AR54" s="30" t="s">
        <v>12</v>
      </c>
      <c r="AS54" s="30" t="s">
        <v>142</v>
      </c>
      <c r="AT54" s="57">
        <f>Augmentation_Data!D34</f>
        <v>637</v>
      </c>
      <c r="AU54" s="57">
        <f>Augmentation_Data!E34</f>
        <v>296</v>
      </c>
      <c r="AV54" s="57">
        <f>Augmentation_Data!F34</f>
        <v>411.5</v>
      </c>
      <c r="AW54" s="57">
        <f>Augmentation_Data!G34</f>
        <v>322.45</v>
      </c>
      <c r="AX54" s="57">
        <f>Augmentation_Data!H34</f>
        <v>389.1</v>
      </c>
      <c r="AY54" s="57">
        <f>Augmentation_Data!I34</f>
        <v>91.75</v>
      </c>
      <c r="BA54" s="15" t="s">
        <v>12</v>
      </c>
      <c r="BB54" s="15" t="s">
        <v>142</v>
      </c>
      <c r="BC54" s="36">
        <f>Augmentation_Data!M34</f>
        <v>269</v>
      </c>
      <c r="BD54" s="36">
        <f>Augmentation_Data!N34</f>
        <v>128</v>
      </c>
      <c r="BE54" s="36">
        <f>Augmentation_Data!O34</f>
        <v>307.5</v>
      </c>
      <c r="BF54" s="36">
        <f>Augmentation_Data!P34</f>
        <v>183.2</v>
      </c>
      <c r="BG54" s="36">
        <f>Augmentation_Data!Q34</f>
        <v>128.85</v>
      </c>
      <c r="BH54" s="36">
        <f>Augmentation_Data!R34</f>
        <v>91.75</v>
      </c>
      <c r="BX54"/>
    </row>
    <row r="55" spans="1:76" ht="14.55" customHeight="1">
      <c r="X55" s="21"/>
      <c r="AR55" s="30" t="s">
        <v>13</v>
      </c>
      <c r="AS55" s="30" t="s">
        <v>143</v>
      </c>
      <c r="AT55" s="57">
        <f>Augmentation_Data!D35</f>
        <v>283.64999999999998</v>
      </c>
      <c r="AU55" s="57">
        <f>Augmentation_Data!E35</f>
        <v>2097</v>
      </c>
      <c r="AV55" s="57">
        <f>Augmentation_Data!F35</f>
        <v>1884.73</v>
      </c>
      <c r="AW55" s="57">
        <f>Augmentation_Data!G35</f>
        <v>1786.83</v>
      </c>
      <c r="AX55" s="57">
        <f>Augmentation_Data!H35</f>
        <v>1696.87</v>
      </c>
      <c r="AY55" s="57">
        <f>Augmentation_Data!I35</f>
        <v>509.59000000000003</v>
      </c>
      <c r="BA55" s="15" t="s">
        <v>13</v>
      </c>
      <c r="BB55" s="15" t="s">
        <v>143</v>
      </c>
      <c r="BC55" s="36">
        <f>Augmentation_Data!M35</f>
        <v>86</v>
      </c>
      <c r="BD55" s="36">
        <f>Augmentation_Data!N35</f>
        <v>166.3</v>
      </c>
      <c r="BE55" s="36">
        <f>Augmentation_Data!O35</f>
        <v>740.45</v>
      </c>
      <c r="BF55" s="36">
        <f>Augmentation_Data!P35</f>
        <v>1375</v>
      </c>
      <c r="BG55" s="36">
        <f>Augmentation_Data!Q35</f>
        <v>1012.04</v>
      </c>
      <c r="BH55" s="36">
        <f>Augmentation_Data!R35</f>
        <v>509.59000000000003</v>
      </c>
      <c r="BX55"/>
    </row>
    <row r="56" spans="1:76" ht="14.55" customHeight="1">
      <c r="X56" s="21"/>
      <c r="AR56" s="30" t="s">
        <v>14</v>
      </c>
      <c r="AS56" s="30" t="s">
        <v>144</v>
      </c>
      <c r="AT56" s="57">
        <f>Augmentation_Data!D36</f>
        <v>0</v>
      </c>
      <c r="AU56" s="57">
        <f>Augmentation_Data!E36</f>
        <v>33</v>
      </c>
      <c r="AV56" s="57">
        <f>Augmentation_Data!F36</f>
        <v>16</v>
      </c>
      <c r="AW56" s="57">
        <f>Augmentation_Data!G36</f>
        <v>2</v>
      </c>
      <c r="AX56" s="57">
        <f>Augmentation_Data!H36</f>
        <v>0</v>
      </c>
      <c r="AY56" s="57">
        <f>Augmentation_Data!I36</f>
        <v>0</v>
      </c>
      <c r="BA56" s="15" t="s">
        <v>14</v>
      </c>
      <c r="BB56" s="15" t="s">
        <v>144</v>
      </c>
      <c r="BC56" s="36">
        <f>Augmentation_Data!M36</f>
        <v>0</v>
      </c>
      <c r="BD56" s="36">
        <f>Augmentation_Data!N36</f>
        <v>33</v>
      </c>
      <c r="BE56" s="36">
        <f>Augmentation_Data!O36</f>
        <v>0</v>
      </c>
      <c r="BF56" s="36">
        <f>Augmentation_Data!P36</f>
        <v>2</v>
      </c>
      <c r="BG56" s="36">
        <f>Augmentation_Data!Q36</f>
        <v>0</v>
      </c>
      <c r="BH56" s="36">
        <f>Augmentation_Data!R36</f>
        <v>0</v>
      </c>
      <c r="BX56"/>
    </row>
    <row r="57" spans="1:76" ht="14.55" customHeight="1">
      <c r="X57" s="21"/>
      <c r="AR57" s="30" t="s">
        <v>15</v>
      </c>
      <c r="AS57" s="30" t="s">
        <v>145</v>
      </c>
      <c r="AT57" s="57">
        <f>Augmentation_Data!D37</f>
        <v>118</v>
      </c>
      <c r="AU57" s="57">
        <f>Augmentation_Data!E37</f>
        <v>34.5</v>
      </c>
      <c r="AV57" s="57">
        <f>Augmentation_Data!F37</f>
        <v>512</v>
      </c>
      <c r="AW57" s="57">
        <f>Augmentation_Data!G37</f>
        <v>608.5</v>
      </c>
      <c r="AX57" s="57">
        <f>Augmentation_Data!H37</f>
        <v>246.10000000000002</v>
      </c>
      <c r="AY57" s="57">
        <f>Augmentation_Data!I37</f>
        <v>91.5</v>
      </c>
      <c r="BA57" s="15" t="s">
        <v>15</v>
      </c>
      <c r="BB57" s="15" t="s">
        <v>145</v>
      </c>
      <c r="BC57" s="36">
        <f>Augmentation_Data!M37</f>
        <v>86</v>
      </c>
      <c r="BD57" s="36">
        <f>Augmentation_Data!N37</f>
        <v>26</v>
      </c>
      <c r="BE57" s="36">
        <f>Augmentation_Data!O37</f>
        <v>211</v>
      </c>
      <c r="BF57" s="36">
        <f>Augmentation_Data!P37</f>
        <v>303.5</v>
      </c>
      <c r="BG57" s="36">
        <f>Augmentation_Data!Q37</f>
        <v>101.6</v>
      </c>
      <c r="BH57" s="36">
        <f>Augmentation_Data!R37</f>
        <v>91.5</v>
      </c>
      <c r="BX57"/>
    </row>
    <row r="58" spans="1:76" ht="14.55" customHeight="1">
      <c r="X58" s="21"/>
      <c r="AR58" s="30" t="s">
        <v>27</v>
      </c>
      <c r="AS58" s="30" t="s">
        <v>29</v>
      </c>
      <c r="AT58" s="57">
        <f>Augmentation_Data!D38</f>
        <v>7331.0999999999995</v>
      </c>
      <c r="AU58" s="57">
        <f>Augmentation_Data!E38</f>
        <v>9078.84</v>
      </c>
      <c r="AV58" s="57">
        <f>Augmentation_Data!F38</f>
        <v>14806.56</v>
      </c>
      <c r="AW58" s="57">
        <f>Augmentation_Data!G38</f>
        <v>14743.16</v>
      </c>
      <c r="AX58" s="57">
        <f>Augmentation_Data!H38</f>
        <v>13639.640000000001</v>
      </c>
      <c r="AY58" s="57">
        <f>Augmentation_Data!I38</f>
        <v>5731.99</v>
      </c>
      <c r="BA58" s="15" t="s">
        <v>27</v>
      </c>
      <c r="BB58" s="14" t="s">
        <v>29</v>
      </c>
      <c r="BC58" s="36">
        <f>Augmentation_Data!M38</f>
        <v>3805.7</v>
      </c>
      <c r="BD58" s="36">
        <f>Augmentation_Data!N38</f>
        <v>3369.6400000000003</v>
      </c>
      <c r="BE58" s="36">
        <f>Augmentation_Data!O38</f>
        <v>8485.5300000000007</v>
      </c>
      <c r="BF58" s="36">
        <f>Augmentation_Data!P38</f>
        <v>9415.98</v>
      </c>
      <c r="BG58" s="36">
        <f>Augmentation_Data!Q38</f>
        <v>5855.9900000000007</v>
      </c>
      <c r="BH58" s="36">
        <f>Augmentation_Data!R38</f>
        <v>5731.99</v>
      </c>
      <c r="BX58"/>
    </row>
    <row r="59" spans="1:76" ht="14.55" customHeight="1">
      <c r="X59" s="21"/>
      <c r="AR59"/>
      <c r="BX59"/>
    </row>
    <row r="60" spans="1:76" ht="14.55" customHeight="1">
      <c r="X60" s="21"/>
      <c r="AR60"/>
      <c r="BX60"/>
    </row>
    <row r="61" spans="1:76" ht="14.55" customHeight="1">
      <c r="X61" s="21"/>
      <c r="AR61" s="30" t="s">
        <v>21</v>
      </c>
      <c r="AS61" s="30" t="s">
        <v>20</v>
      </c>
      <c r="AT61" s="30" t="s">
        <v>30</v>
      </c>
      <c r="AU61" s="30" t="s">
        <v>22</v>
      </c>
      <c r="AV61" s="30" t="s">
        <v>39</v>
      </c>
      <c r="AW61" s="30" t="s">
        <v>40</v>
      </c>
      <c r="AX61" s="30" t="s">
        <v>41</v>
      </c>
      <c r="AY61" s="30" t="s">
        <v>42</v>
      </c>
      <c r="AZ61" s="17"/>
      <c r="BA61" s="12" t="s">
        <v>21</v>
      </c>
      <c r="BB61" s="12" t="s">
        <v>20</v>
      </c>
      <c r="BC61" s="12" t="s">
        <v>30</v>
      </c>
      <c r="BD61" s="12" t="s">
        <v>22</v>
      </c>
      <c r="BE61" s="12" t="s">
        <v>39</v>
      </c>
      <c r="BF61" s="12" t="s">
        <v>40</v>
      </c>
      <c r="BG61" s="12" t="s">
        <v>41</v>
      </c>
      <c r="BH61" s="12" t="s">
        <v>42</v>
      </c>
      <c r="BX61"/>
    </row>
    <row r="62" spans="1:76" ht="14.55" customHeight="1">
      <c r="X62" s="21"/>
      <c r="AR62" s="30" t="s">
        <v>0</v>
      </c>
      <c r="AS62" s="30" t="s">
        <v>131</v>
      </c>
      <c r="AT62" s="57">
        <f>Augmentation_Data!D42</f>
        <v>118.75</v>
      </c>
      <c r="AU62" s="57">
        <f>Augmentation_Data!E42</f>
        <v>358.79999999999995</v>
      </c>
      <c r="AV62" s="57">
        <f>Augmentation_Data!F42</f>
        <v>208</v>
      </c>
      <c r="AW62" s="57">
        <f>Augmentation_Data!G42</f>
        <v>358</v>
      </c>
      <c r="AX62" s="57">
        <f>Augmentation_Data!H42</f>
        <v>188.3</v>
      </c>
      <c r="AY62" s="57">
        <f>Augmentation_Data!I42</f>
        <v>29</v>
      </c>
      <c r="BA62" s="15" t="s">
        <v>0</v>
      </c>
      <c r="BB62" s="15" t="s">
        <v>131</v>
      </c>
      <c r="BC62" s="36">
        <f>Augmentation_Data!M42</f>
        <v>35.75</v>
      </c>
      <c r="BD62" s="36">
        <f>Augmentation_Data!N42</f>
        <v>115.25</v>
      </c>
      <c r="BE62" s="36">
        <f>Augmentation_Data!O42</f>
        <v>94.25</v>
      </c>
      <c r="BF62" s="36">
        <f>Augmentation_Data!P42</f>
        <v>186.25</v>
      </c>
      <c r="BG62" s="36">
        <f>Augmentation_Data!Q42</f>
        <v>88.4</v>
      </c>
      <c r="BH62" s="36">
        <f>Augmentation_Data!R42</f>
        <v>29</v>
      </c>
      <c r="BX62"/>
    </row>
    <row r="63" spans="1:76" ht="14.55" customHeight="1">
      <c r="X63" s="21"/>
      <c r="AR63" s="30" t="s">
        <v>1</v>
      </c>
      <c r="AS63" s="30" t="s">
        <v>130</v>
      </c>
      <c r="AT63" s="57">
        <f>Augmentation_Data!D43</f>
        <v>526</v>
      </c>
      <c r="AU63" s="57">
        <f>Augmentation_Data!E43</f>
        <v>567.04999999999995</v>
      </c>
      <c r="AV63" s="57">
        <f>Augmentation_Data!F43</f>
        <v>344.25</v>
      </c>
      <c r="AW63" s="57">
        <f>Augmentation_Data!G43</f>
        <v>396.72</v>
      </c>
      <c r="AX63" s="57">
        <f>Augmentation_Data!H43</f>
        <v>735.66</v>
      </c>
      <c r="AY63" s="57">
        <f>Augmentation_Data!I43</f>
        <v>419.77</v>
      </c>
      <c r="BA63" s="15" t="s">
        <v>1</v>
      </c>
      <c r="BB63" s="15" t="s">
        <v>130</v>
      </c>
      <c r="BC63" s="36">
        <f>Augmentation_Data!M43</f>
        <v>239</v>
      </c>
      <c r="BD63" s="36">
        <f>Augmentation_Data!N43</f>
        <v>417.05</v>
      </c>
      <c r="BE63" s="36">
        <f>Augmentation_Data!O43</f>
        <v>235</v>
      </c>
      <c r="BF63" s="36">
        <f>Augmentation_Data!P43</f>
        <v>266.5</v>
      </c>
      <c r="BG63" s="36">
        <f>Augmentation_Data!Q43</f>
        <v>230.43</v>
      </c>
      <c r="BH63" s="36">
        <f>Augmentation_Data!R43</f>
        <v>419.77</v>
      </c>
      <c r="BX63"/>
    </row>
    <row r="64" spans="1:76" ht="14.55" customHeight="1">
      <c r="X64" s="21"/>
      <c r="AR64" s="30" t="s">
        <v>2</v>
      </c>
      <c r="AS64" s="30" t="s">
        <v>132</v>
      </c>
      <c r="AT64" s="57">
        <f>Augmentation_Data!D44</f>
        <v>301.85000000000002</v>
      </c>
      <c r="AU64" s="57">
        <f>Augmentation_Data!E44</f>
        <v>379.47</v>
      </c>
      <c r="AV64" s="57">
        <f>Augmentation_Data!F44</f>
        <v>404.7</v>
      </c>
      <c r="AW64" s="57">
        <f>Augmentation_Data!G44</f>
        <v>90.8</v>
      </c>
      <c r="AX64" s="57">
        <f>Augmentation_Data!H44</f>
        <v>106.07</v>
      </c>
      <c r="AY64" s="57">
        <f>Augmentation_Data!I44</f>
        <v>62.25</v>
      </c>
      <c r="BA64" s="15" t="s">
        <v>2</v>
      </c>
      <c r="BB64" s="15" t="s">
        <v>132</v>
      </c>
      <c r="BC64" s="36">
        <f>Augmentation_Data!M44</f>
        <v>157.25</v>
      </c>
      <c r="BD64" s="36">
        <f>Augmentation_Data!N44</f>
        <v>229.3</v>
      </c>
      <c r="BE64" s="36">
        <f>Augmentation_Data!O44</f>
        <v>157.69999999999999</v>
      </c>
      <c r="BF64" s="36">
        <f>Augmentation_Data!P44</f>
        <v>43.8</v>
      </c>
      <c r="BG64" s="36">
        <f>Augmentation_Data!Q44</f>
        <v>44.9</v>
      </c>
      <c r="BH64" s="36">
        <f>Augmentation_Data!R44</f>
        <v>62.25</v>
      </c>
      <c r="BX64"/>
    </row>
    <row r="65" spans="1:76" ht="14.55" customHeight="1">
      <c r="X65" s="21"/>
      <c r="AR65" s="30" t="s">
        <v>3</v>
      </c>
      <c r="AS65" s="30" t="s">
        <v>133</v>
      </c>
      <c r="AT65" s="57">
        <f>Augmentation_Data!D45</f>
        <v>674.28</v>
      </c>
      <c r="AU65" s="57">
        <f>Augmentation_Data!E45</f>
        <v>1024.45</v>
      </c>
      <c r="AV65" s="57">
        <f>Augmentation_Data!F45</f>
        <v>956</v>
      </c>
      <c r="AW65" s="57">
        <f>Augmentation_Data!G45</f>
        <v>1539.65</v>
      </c>
      <c r="AX65" s="57">
        <f>Augmentation_Data!H45</f>
        <v>958.06</v>
      </c>
      <c r="AY65" s="57">
        <f>Augmentation_Data!I45</f>
        <v>47</v>
      </c>
      <c r="BA65" s="15" t="s">
        <v>3</v>
      </c>
      <c r="BB65" s="15" t="s">
        <v>133</v>
      </c>
      <c r="BC65" s="36">
        <f>Augmentation_Data!M45</f>
        <v>236.10000000000002</v>
      </c>
      <c r="BD65" s="36">
        <f>Augmentation_Data!N45</f>
        <v>308.95</v>
      </c>
      <c r="BE65" s="36">
        <f>Augmentation_Data!O45</f>
        <v>224.7</v>
      </c>
      <c r="BF65" s="36">
        <f>Augmentation_Data!P45</f>
        <v>403.65</v>
      </c>
      <c r="BG65" s="36">
        <f>Augmentation_Data!Q45</f>
        <v>183.35999999999999</v>
      </c>
      <c r="BH65" s="36">
        <f>Augmentation_Data!R45</f>
        <v>47</v>
      </c>
      <c r="BX65"/>
    </row>
    <row r="66" spans="1:76" ht="14.55" customHeight="1">
      <c r="X66" s="21"/>
      <c r="AR66" s="30" t="s">
        <v>4</v>
      </c>
      <c r="AS66" s="30" t="s">
        <v>134</v>
      </c>
      <c r="AT66" s="57">
        <f>Augmentation_Data!D46</f>
        <v>3459.77</v>
      </c>
      <c r="AU66" s="57">
        <f>Augmentation_Data!E46</f>
        <v>4447.07</v>
      </c>
      <c r="AV66" s="57">
        <f>Augmentation_Data!F46</f>
        <v>4449.68</v>
      </c>
      <c r="AW66" s="57">
        <f>Augmentation_Data!G46</f>
        <v>3260.33</v>
      </c>
      <c r="AX66" s="57">
        <f>Augmentation_Data!H46</f>
        <v>3680.3500000000004</v>
      </c>
      <c r="AY66" s="57">
        <f>Augmentation_Data!I46</f>
        <v>1200.8699999999999</v>
      </c>
      <c r="BA66" s="15" t="s">
        <v>4</v>
      </c>
      <c r="BB66" s="15" t="s">
        <v>134</v>
      </c>
      <c r="BC66" s="36">
        <f>Augmentation_Data!M46</f>
        <v>1465.57</v>
      </c>
      <c r="BD66" s="36">
        <f>Augmentation_Data!N46</f>
        <v>2272.5699999999997</v>
      </c>
      <c r="BE66" s="36">
        <f>Augmentation_Data!O46</f>
        <v>2449</v>
      </c>
      <c r="BF66" s="36">
        <f>Augmentation_Data!P46</f>
        <v>1822.55</v>
      </c>
      <c r="BG66" s="36">
        <f>Augmentation_Data!Q46</f>
        <v>1660.45</v>
      </c>
      <c r="BH66" s="36">
        <f>Augmentation_Data!R46</f>
        <v>1200.8699999999999</v>
      </c>
      <c r="BX66"/>
    </row>
    <row r="67" spans="1:76" ht="14.55" customHeight="1">
      <c r="X67" s="21"/>
      <c r="AR67" s="30" t="s">
        <v>5</v>
      </c>
      <c r="AS67" s="30" t="s">
        <v>135</v>
      </c>
      <c r="AT67" s="57">
        <f>Augmentation_Data!D47</f>
        <v>429.75</v>
      </c>
      <c r="AU67" s="57">
        <f>Augmentation_Data!E47</f>
        <v>868</v>
      </c>
      <c r="AV67" s="57">
        <f>Augmentation_Data!F47</f>
        <v>469.67</v>
      </c>
      <c r="AW67" s="57">
        <f>Augmentation_Data!G47</f>
        <v>993.43</v>
      </c>
      <c r="AX67" s="57">
        <f>Augmentation_Data!H47</f>
        <v>624.52</v>
      </c>
      <c r="AY67" s="57">
        <f>Augmentation_Data!I47</f>
        <v>133.5</v>
      </c>
      <c r="BA67" s="15" t="s">
        <v>5</v>
      </c>
      <c r="BB67" s="15" t="s">
        <v>135</v>
      </c>
      <c r="BC67" s="36">
        <f>Augmentation_Data!M47</f>
        <v>102.65</v>
      </c>
      <c r="BD67" s="36">
        <f>Augmentation_Data!N47</f>
        <v>239</v>
      </c>
      <c r="BE67" s="36">
        <f>Augmentation_Data!O47</f>
        <v>85</v>
      </c>
      <c r="BF67" s="36">
        <f>Augmentation_Data!P47</f>
        <v>356.43</v>
      </c>
      <c r="BG67" s="36">
        <f>Augmentation_Data!Q47</f>
        <v>227.5</v>
      </c>
      <c r="BH67" s="36">
        <f>Augmentation_Data!R47</f>
        <v>133.5</v>
      </c>
      <c r="BX67"/>
    </row>
    <row r="68" spans="1:76" ht="14.55" customHeight="1">
      <c r="X68" s="21"/>
      <c r="AR68" s="30" t="s">
        <v>6</v>
      </c>
      <c r="AS68" s="30" t="s">
        <v>136</v>
      </c>
      <c r="AT68" s="57">
        <f>Augmentation_Data!D48</f>
        <v>124.5</v>
      </c>
      <c r="AU68" s="57">
        <f>Augmentation_Data!E48</f>
        <v>159.5</v>
      </c>
      <c r="AV68" s="57">
        <f>Augmentation_Data!F48</f>
        <v>325</v>
      </c>
      <c r="AW68" s="57">
        <f>Augmentation_Data!G48</f>
        <v>353.73</v>
      </c>
      <c r="AX68" s="57">
        <f>Augmentation_Data!H48</f>
        <v>380</v>
      </c>
      <c r="AY68" s="57">
        <f>Augmentation_Data!I48</f>
        <v>184.6</v>
      </c>
      <c r="BA68" s="15" t="s">
        <v>6</v>
      </c>
      <c r="BB68" s="15" t="s">
        <v>136</v>
      </c>
      <c r="BC68" s="36">
        <f>Augmentation_Data!M48</f>
        <v>10.5</v>
      </c>
      <c r="BD68" s="36">
        <f>Augmentation_Data!N48</f>
        <v>28</v>
      </c>
      <c r="BE68" s="36">
        <f>Augmentation_Data!O48</f>
        <v>4</v>
      </c>
      <c r="BF68" s="36">
        <f>Augmentation_Data!P48</f>
        <v>24</v>
      </c>
      <c r="BG68" s="36">
        <f>Augmentation_Data!Q48</f>
        <v>186.5</v>
      </c>
      <c r="BH68" s="36">
        <f>Augmentation_Data!R48</f>
        <v>184.6</v>
      </c>
      <c r="BX68"/>
    </row>
    <row r="69" spans="1:76" ht="14.55" customHeight="1">
      <c r="X69" s="21"/>
      <c r="AR69" s="30" t="s">
        <v>7</v>
      </c>
      <c r="AS69" s="30" t="s">
        <v>137</v>
      </c>
      <c r="AT69" s="57">
        <f>Augmentation_Data!D49</f>
        <v>204.22</v>
      </c>
      <c r="AU69" s="57">
        <f>Augmentation_Data!E49</f>
        <v>209.23000000000002</v>
      </c>
      <c r="AV69" s="57">
        <f>Augmentation_Data!F49</f>
        <v>793.9</v>
      </c>
      <c r="AW69" s="57">
        <f>Augmentation_Data!G49</f>
        <v>505.13</v>
      </c>
      <c r="AX69" s="57">
        <f>Augmentation_Data!H49</f>
        <v>578.09</v>
      </c>
      <c r="AY69" s="57">
        <f>Augmentation_Data!I49</f>
        <v>238.85</v>
      </c>
      <c r="BA69" s="15" t="s">
        <v>7</v>
      </c>
      <c r="BB69" s="15" t="s">
        <v>137</v>
      </c>
      <c r="BC69" s="36">
        <f>Augmentation_Data!M49</f>
        <v>129.1</v>
      </c>
      <c r="BD69" s="36">
        <f>Augmentation_Data!N49</f>
        <v>85.72</v>
      </c>
      <c r="BE69" s="36">
        <f>Augmentation_Data!O49</f>
        <v>201.73000000000002</v>
      </c>
      <c r="BF69" s="36">
        <f>Augmentation_Data!P49</f>
        <v>245.23</v>
      </c>
      <c r="BG69" s="36">
        <f>Augmentation_Data!Q49</f>
        <v>278.42</v>
      </c>
      <c r="BH69" s="36">
        <f>Augmentation_Data!R49</f>
        <v>238.85</v>
      </c>
      <c r="BX69"/>
    </row>
    <row r="70" spans="1:76" ht="14.55" customHeight="1">
      <c r="X70" s="21"/>
      <c r="AR70" s="30" t="s">
        <v>8</v>
      </c>
      <c r="AS70" s="30" t="s">
        <v>138</v>
      </c>
      <c r="AT70" s="57">
        <f>Augmentation_Data!D50</f>
        <v>1049.67</v>
      </c>
      <c r="AU70" s="57">
        <f>Augmentation_Data!E50</f>
        <v>829.77</v>
      </c>
      <c r="AV70" s="57">
        <f>Augmentation_Data!F50</f>
        <v>723.75</v>
      </c>
      <c r="AW70" s="57">
        <f>Augmentation_Data!G50</f>
        <v>345.75</v>
      </c>
      <c r="AX70" s="57">
        <f>Augmentation_Data!H50</f>
        <v>372</v>
      </c>
      <c r="AY70" s="57">
        <f>Augmentation_Data!I50</f>
        <v>59.75</v>
      </c>
      <c r="BA70" s="15" t="s">
        <v>8</v>
      </c>
      <c r="BB70" s="15" t="s">
        <v>138</v>
      </c>
      <c r="BC70" s="36">
        <f>Augmentation_Data!M50</f>
        <v>382.17</v>
      </c>
      <c r="BD70" s="36">
        <f>Augmentation_Data!N50</f>
        <v>428.27000000000004</v>
      </c>
      <c r="BE70" s="36">
        <f>Augmentation_Data!O50</f>
        <v>368</v>
      </c>
      <c r="BF70" s="36">
        <f>Augmentation_Data!P50</f>
        <v>62.75</v>
      </c>
      <c r="BG70" s="36">
        <f>Augmentation_Data!Q50</f>
        <v>65.25</v>
      </c>
      <c r="BH70" s="36">
        <f>Augmentation_Data!R50</f>
        <v>59.75</v>
      </c>
      <c r="BX70"/>
    </row>
    <row r="71" spans="1:76" ht="14.55" customHeight="1">
      <c r="X71" s="21"/>
      <c r="AR71" s="30" t="s">
        <v>9</v>
      </c>
      <c r="AS71" s="30" t="s">
        <v>139</v>
      </c>
      <c r="AT71" s="57">
        <f>Augmentation_Data!D51</f>
        <v>3</v>
      </c>
      <c r="AU71" s="57">
        <f>Augmentation_Data!E51</f>
        <v>0</v>
      </c>
      <c r="AV71" s="57">
        <f>Augmentation_Data!F51</f>
        <v>49.75</v>
      </c>
      <c r="AW71" s="57">
        <f>Augmentation_Data!G51</f>
        <v>97.5</v>
      </c>
      <c r="AX71" s="57">
        <f>Augmentation_Data!H51</f>
        <v>23.5</v>
      </c>
      <c r="AY71" s="57">
        <f>Augmentation_Data!I51</f>
        <v>0</v>
      </c>
      <c r="BA71" s="15" t="s">
        <v>9</v>
      </c>
      <c r="BB71" s="15" t="s">
        <v>139</v>
      </c>
      <c r="BC71" s="36">
        <f>Augmentation_Data!M51</f>
        <v>0</v>
      </c>
      <c r="BD71" s="36">
        <f>Augmentation_Data!N51</f>
        <v>0</v>
      </c>
      <c r="BE71" s="36">
        <f>Augmentation_Data!O51</f>
        <v>0</v>
      </c>
      <c r="BF71" s="36">
        <f>Augmentation_Data!P51</f>
        <v>71</v>
      </c>
      <c r="BG71" s="36">
        <f>Augmentation_Data!Q51</f>
        <v>16.5</v>
      </c>
      <c r="BH71" s="36">
        <f>Augmentation_Data!R51</f>
        <v>0</v>
      </c>
      <c r="BX71"/>
    </row>
    <row r="72" spans="1:76" ht="14.55" customHeight="1">
      <c r="X72" s="21"/>
      <c r="AR72" s="30" t="s">
        <v>10</v>
      </c>
      <c r="AS72" s="30" t="s">
        <v>140</v>
      </c>
      <c r="AT72" s="57">
        <f>Augmentation_Data!D52</f>
        <v>1803.3</v>
      </c>
      <c r="AU72" s="57">
        <f>Augmentation_Data!E52</f>
        <v>1623.83</v>
      </c>
      <c r="AV72" s="57">
        <f>Augmentation_Data!F52</f>
        <v>341.25</v>
      </c>
      <c r="AW72" s="57">
        <f>Augmentation_Data!G52</f>
        <v>205.79</v>
      </c>
      <c r="AX72" s="57">
        <f>Augmentation_Data!H52</f>
        <v>432.75</v>
      </c>
      <c r="AY72" s="57">
        <f>Augmentation_Data!I52</f>
        <v>29</v>
      </c>
      <c r="BA72" s="15" t="s">
        <v>10</v>
      </c>
      <c r="BB72" s="15" t="s">
        <v>140</v>
      </c>
      <c r="BC72" s="36">
        <f>Augmentation_Data!M52</f>
        <v>906</v>
      </c>
      <c r="BD72" s="36">
        <f>Augmentation_Data!N52</f>
        <v>915.32999999999993</v>
      </c>
      <c r="BE72" s="36">
        <f>Augmentation_Data!O52</f>
        <v>102</v>
      </c>
      <c r="BF72" s="36">
        <f>Augmentation_Data!P52</f>
        <v>114.37</v>
      </c>
      <c r="BG72" s="36">
        <f>Augmentation_Data!Q52</f>
        <v>237.5</v>
      </c>
      <c r="BH72" s="36">
        <f>Augmentation_Data!R52</f>
        <v>29</v>
      </c>
      <c r="BX72"/>
    </row>
    <row r="73" spans="1:76" ht="14.55" customHeight="1">
      <c r="X73" s="21"/>
      <c r="AR73" s="30" t="s">
        <v>11</v>
      </c>
      <c r="AS73" s="30" t="s">
        <v>141</v>
      </c>
      <c r="AT73" s="57">
        <f>Augmentation_Data!D53</f>
        <v>68.7</v>
      </c>
      <c r="AU73" s="57">
        <f>Augmentation_Data!E53</f>
        <v>237</v>
      </c>
      <c r="AV73" s="57">
        <f>Augmentation_Data!F53</f>
        <v>326.88</v>
      </c>
      <c r="AW73" s="57">
        <f>Augmentation_Data!G53</f>
        <v>465.85</v>
      </c>
      <c r="AX73" s="57">
        <f>Augmentation_Data!H53</f>
        <v>256.5</v>
      </c>
      <c r="AY73" s="57">
        <f>Augmentation_Data!I53</f>
        <v>71.5</v>
      </c>
      <c r="BA73" s="15" t="s">
        <v>11</v>
      </c>
      <c r="BB73" s="15" t="s">
        <v>141</v>
      </c>
      <c r="BC73" s="36">
        <f>Augmentation_Data!M53</f>
        <v>11.9</v>
      </c>
      <c r="BD73" s="36">
        <f>Augmentation_Data!N53</f>
        <v>55</v>
      </c>
      <c r="BE73" s="36">
        <f>Augmentation_Data!O53</f>
        <v>188.23</v>
      </c>
      <c r="BF73" s="36">
        <f>Augmentation_Data!P53</f>
        <v>63.6</v>
      </c>
      <c r="BG73" s="36">
        <f>Augmentation_Data!Q53</f>
        <v>53.5</v>
      </c>
      <c r="BH73" s="36">
        <f>Augmentation_Data!R53</f>
        <v>71.5</v>
      </c>
      <c r="BX73"/>
    </row>
    <row r="74" spans="1:76" ht="14.55" customHeight="1">
      <c r="X74" s="21"/>
      <c r="AR74" s="30" t="s">
        <v>12</v>
      </c>
      <c r="AS74" s="30" t="s">
        <v>142</v>
      </c>
      <c r="AT74" s="57">
        <f>Augmentation_Data!D54</f>
        <v>631.41</v>
      </c>
      <c r="AU74" s="57">
        <f>Augmentation_Data!E54</f>
        <v>1241.6599999999999</v>
      </c>
      <c r="AV74" s="57">
        <f>Augmentation_Data!F54</f>
        <v>2865.75</v>
      </c>
      <c r="AW74" s="57">
        <f>Augmentation_Data!G54</f>
        <v>1393.3</v>
      </c>
      <c r="AX74" s="57">
        <f>Augmentation_Data!H54</f>
        <v>1815.95</v>
      </c>
      <c r="AY74" s="57">
        <f>Augmentation_Data!I54</f>
        <v>307.25</v>
      </c>
      <c r="BA74" s="15" t="s">
        <v>12</v>
      </c>
      <c r="BB74" s="15" t="s">
        <v>142</v>
      </c>
      <c r="BC74" s="36">
        <f>Augmentation_Data!M54</f>
        <v>171</v>
      </c>
      <c r="BD74" s="36">
        <f>Augmentation_Data!N54</f>
        <v>270.83000000000004</v>
      </c>
      <c r="BE74" s="36">
        <f>Augmentation_Data!O54</f>
        <v>646.75</v>
      </c>
      <c r="BF74" s="36">
        <f>Augmentation_Data!P54</f>
        <v>420.25</v>
      </c>
      <c r="BG74" s="36">
        <f>Augmentation_Data!Q54</f>
        <v>322.25</v>
      </c>
      <c r="BH74" s="36">
        <f>Augmentation_Data!R54</f>
        <v>307.25</v>
      </c>
      <c r="BX74"/>
    </row>
    <row r="75" spans="1:76" ht="14.25" customHeight="1">
      <c r="X75" s="21"/>
      <c r="AR75" s="30" t="s">
        <v>13</v>
      </c>
      <c r="AS75" s="30" t="s">
        <v>143</v>
      </c>
      <c r="AT75" s="57">
        <f>Augmentation_Data!D55</f>
        <v>1270.75</v>
      </c>
      <c r="AU75" s="57">
        <f>Augmentation_Data!E55</f>
        <v>469.65</v>
      </c>
      <c r="AV75" s="57">
        <f>Augmentation_Data!F55</f>
        <v>611.84999999999991</v>
      </c>
      <c r="AW75" s="57">
        <f>Augmentation_Data!G55</f>
        <v>386.4</v>
      </c>
      <c r="AX75" s="57">
        <f>Augmentation_Data!H55</f>
        <v>183.75</v>
      </c>
      <c r="AY75" s="57">
        <f>Augmentation_Data!I55</f>
        <v>84.5</v>
      </c>
      <c r="BA75" s="15" t="s">
        <v>13</v>
      </c>
      <c r="BB75" s="15" t="s">
        <v>143</v>
      </c>
      <c r="BC75" s="36">
        <f>Augmentation_Data!M55</f>
        <v>75.75</v>
      </c>
      <c r="BD75" s="36">
        <f>Augmentation_Data!N55</f>
        <v>247.5</v>
      </c>
      <c r="BE75" s="36">
        <f>Augmentation_Data!O55</f>
        <v>356.15</v>
      </c>
      <c r="BF75" s="36">
        <f>Augmentation_Data!P55</f>
        <v>241.39999999999998</v>
      </c>
      <c r="BG75" s="36">
        <f>Augmentation_Data!Q55</f>
        <v>100.25</v>
      </c>
      <c r="BH75" s="36">
        <f>Augmentation_Data!R55</f>
        <v>84.5</v>
      </c>
      <c r="BX75"/>
    </row>
    <row r="76" spans="1:76" ht="14.55" customHeight="1">
      <c r="X76" s="21"/>
      <c r="Y76" s="16"/>
      <c r="AR76" s="30" t="s">
        <v>14</v>
      </c>
      <c r="AS76" s="30" t="s">
        <v>144</v>
      </c>
      <c r="AT76" s="57">
        <f>Augmentation_Data!D56</f>
        <v>4</v>
      </c>
      <c r="AU76" s="57">
        <f>Augmentation_Data!E56</f>
        <v>175.5</v>
      </c>
      <c r="AV76" s="57">
        <f>Augmentation_Data!F56</f>
        <v>527.20000000000005</v>
      </c>
      <c r="AW76" s="57">
        <f>Augmentation_Data!G56</f>
        <v>220.5</v>
      </c>
      <c r="AX76" s="57">
        <f>Augmentation_Data!H56</f>
        <v>163.5</v>
      </c>
      <c r="AY76" s="57">
        <f>Augmentation_Data!I56</f>
        <v>30.5</v>
      </c>
      <c r="BA76" s="15" t="s">
        <v>14</v>
      </c>
      <c r="BB76" s="15" t="s">
        <v>144</v>
      </c>
      <c r="BC76" s="36">
        <f>Augmentation_Data!M56</f>
        <v>4</v>
      </c>
      <c r="BD76" s="36">
        <f>Augmentation_Data!N56</f>
        <v>0</v>
      </c>
      <c r="BE76" s="36">
        <f>Augmentation_Data!O56</f>
        <v>387.2</v>
      </c>
      <c r="BF76" s="36">
        <f>Augmentation_Data!P56</f>
        <v>110.5</v>
      </c>
      <c r="BG76" s="36">
        <f>Augmentation_Data!Q56</f>
        <v>105.5</v>
      </c>
      <c r="BH76" s="36">
        <f>Augmentation_Data!R56</f>
        <v>30.5</v>
      </c>
      <c r="BX76"/>
    </row>
    <row r="77" spans="1:76" ht="19.2" customHeight="1">
      <c r="X77" s="21"/>
      <c r="Y77" s="16"/>
      <c r="AR77" s="30" t="s">
        <v>15</v>
      </c>
      <c r="AS77" s="30" t="s">
        <v>145</v>
      </c>
      <c r="AT77" s="57">
        <f>Augmentation_Data!D57</f>
        <v>2.5</v>
      </c>
      <c r="AU77" s="57">
        <f>Augmentation_Data!E57</f>
        <v>8.25</v>
      </c>
      <c r="AV77" s="57">
        <f>Augmentation_Data!F57</f>
        <v>31</v>
      </c>
      <c r="AW77" s="57">
        <f>Augmentation_Data!G57</f>
        <v>15</v>
      </c>
      <c r="AX77" s="57">
        <f>Augmentation_Data!H57</f>
        <v>15.17</v>
      </c>
      <c r="AY77" s="57">
        <f>Augmentation_Data!I57</f>
        <v>13</v>
      </c>
      <c r="BA77" s="15" t="s">
        <v>15</v>
      </c>
      <c r="BB77" s="15" t="s">
        <v>145</v>
      </c>
      <c r="BC77" s="36">
        <f>Augmentation_Data!M57</f>
        <v>0</v>
      </c>
      <c r="BD77" s="36">
        <f>Augmentation_Data!N57</f>
        <v>2.25</v>
      </c>
      <c r="BE77" s="36">
        <f>Augmentation_Data!O57</f>
        <v>10</v>
      </c>
      <c r="BF77" s="36">
        <f>Augmentation_Data!P57</f>
        <v>5</v>
      </c>
      <c r="BG77" s="36">
        <f>Augmentation_Data!Q57</f>
        <v>10.17</v>
      </c>
      <c r="BH77" s="36">
        <f>Augmentation_Data!R57</f>
        <v>13</v>
      </c>
      <c r="BX77"/>
    </row>
    <row r="78" spans="1:76" s="10" customFormat="1" ht="14.5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21"/>
      <c r="Y78" s="16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 s="4"/>
      <c r="AR78" s="30" t="s">
        <v>27</v>
      </c>
      <c r="AS78" s="30" t="s">
        <v>29</v>
      </c>
      <c r="AT78" s="57">
        <f>Augmentation_Data!D58</f>
        <v>10672.45</v>
      </c>
      <c r="AU78" s="57">
        <f>Augmentation_Data!E58</f>
        <v>12599.23</v>
      </c>
      <c r="AV78" s="57">
        <f>Augmentation_Data!F58</f>
        <v>13428.630000000001</v>
      </c>
      <c r="AW78" s="57">
        <f>Augmentation_Data!G58</f>
        <v>10627.88</v>
      </c>
      <c r="AX78" s="57">
        <f>Augmentation_Data!H58</f>
        <v>10514.170000000002</v>
      </c>
      <c r="AY78" s="57">
        <f>Augmentation_Data!I58</f>
        <v>2911.3399999999997</v>
      </c>
      <c r="AZ78"/>
      <c r="BA78" s="15" t="s">
        <v>27</v>
      </c>
      <c r="BB78" s="14" t="s">
        <v>29</v>
      </c>
      <c r="BC78" s="36">
        <f>Augmentation_Data!M58</f>
        <v>3926.7400000000002</v>
      </c>
      <c r="BD78" s="36">
        <f>Augmentation_Data!N58</f>
        <v>5615.0199999999995</v>
      </c>
      <c r="BE78" s="36">
        <f>Augmentation_Data!O58</f>
        <v>5509.7099999999991</v>
      </c>
      <c r="BF78" s="36">
        <f>Augmentation_Data!P58</f>
        <v>4437.28</v>
      </c>
      <c r="BG78" s="36">
        <f>Augmentation_Data!Q58</f>
        <v>3810.88</v>
      </c>
      <c r="BH78" s="36">
        <f>Augmentation_Data!R58</f>
        <v>2911.3399999999997</v>
      </c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X78"/>
    </row>
    <row r="79" spans="1:76" ht="14.55" customHeight="1">
      <c r="X79" s="21"/>
      <c r="Y79" s="16"/>
      <c r="AR79"/>
      <c r="BX79"/>
    </row>
    <row r="80" spans="1:76" ht="14.55" customHeight="1">
      <c r="X80" s="21"/>
      <c r="Y80" s="16"/>
      <c r="AR80"/>
      <c r="BX80"/>
    </row>
    <row r="81" spans="24:76" ht="14.55" customHeight="1">
      <c r="X81" s="21"/>
      <c r="Y81" s="16"/>
      <c r="AR81" s="30" t="s">
        <v>21</v>
      </c>
      <c r="AS81" s="30" t="s">
        <v>20</v>
      </c>
      <c r="AT81" s="30" t="s">
        <v>30</v>
      </c>
      <c r="AU81" s="30" t="s">
        <v>22</v>
      </c>
      <c r="AV81" s="30" t="s">
        <v>39</v>
      </c>
      <c r="AW81" s="30" t="s">
        <v>40</v>
      </c>
      <c r="AX81" s="30" t="s">
        <v>41</v>
      </c>
      <c r="AY81" s="30" t="s">
        <v>42</v>
      </c>
      <c r="AZ81" s="17"/>
      <c r="BA81" s="12" t="s">
        <v>21</v>
      </c>
      <c r="BB81" s="12" t="s">
        <v>20</v>
      </c>
      <c r="BC81" s="12" t="s">
        <v>30</v>
      </c>
      <c r="BD81" s="12" t="s">
        <v>22</v>
      </c>
      <c r="BE81" s="12" t="s">
        <v>39</v>
      </c>
      <c r="BF81" s="12" t="s">
        <v>40</v>
      </c>
      <c r="BG81" s="12" t="s">
        <v>41</v>
      </c>
      <c r="BH81" s="12" t="s">
        <v>42</v>
      </c>
      <c r="BX81"/>
    </row>
    <row r="82" spans="24:76" ht="14.55" customHeight="1">
      <c r="X82" s="21"/>
      <c r="Y82" s="16"/>
      <c r="AR82" s="30" t="s">
        <v>0</v>
      </c>
      <c r="AS82" s="30" t="s">
        <v>131</v>
      </c>
      <c r="AT82" s="57">
        <f>Augmentation_Data!D62</f>
        <v>57.5</v>
      </c>
      <c r="AU82" s="57">
        <f>Augmentation_Data!E62</f>
        <v>14</v>
      </c>
      <c r="AV82" s="57">
        <f>Augmentation_Data!F62</f>
        <v>57</v>
      </c>
      <c r="AW82" s="57">
        <f>Augmentation_Data!G62</f>
        <v>80.75</v>
      </c>
      <c r="AX82" s="57">
        <f>Augmentation_Data!H62</f>
        <v>48</v>
      </c>
      <c r="AY82" s="57">
        <f>Augmentation_Data!I62</f>
        <v>0</v>
      </c>
      <c r="BA82" s="15" t="s">
        <v>0</v>
      </c>
      <c r="BB82" s="15" t="s">
        <v>131</v>
      </c>
      <c r="BC82" s="36">
        <f>Augmentation_Data!M62</f>
        <v>10</v>
      </c>
      <c r="BD82" s="36">
        <f>Augmentation_Data!N62</f>
        <v>14</v>
      </c>
      <c r="BE82" s="36">
        <f>Augmentation_Data!O62</f>
        <v>53.25</v>
      </c>
      <c r="BF82" s="36">
        <f>Augmentation_Data!P62</f>
        <v>5.5</v>
      </c>
      <c r="BG82" s="36">
        <f>Augmentation_Data!Q62</f>
        <v>41</v>
      </c>
      <c r="BH82" s="36">
        <f>Augmentation_Data!R62</f>
        <v>0</v>
      </c>
      <c r="BX82"/>
    </row>
    <row r="83" spans="24:76" ht="14.55" customHeight="1">
      <c r="X83" s="21"/>
      <c r="Y83" s="16"/>
      <c r="AR83" s="30" t="s">
        <v>1</v>
      </c>
      <c r="AS83" s="30" t="s">
        <v>130</v>
      </c>
      <c r="AT83" s="57">
        <f>Augmentation_Data!D63</f>
        <v>490</v>
      </c>
      <c r="AU83" s="57">
        <f>Augmentation_Data!E63</f>
        <v>704.8</v>
      </c>
      <c r="AV83" s="57">
        <f>Augmentation_Data!F63</f>
        <v>999</v>
      </c>
      <c r="AW83" s="57">
        <f>Augmentation_Data!G63</f>
        <v>1134.75</v>
      </c>
      <c r="AX83" s="57">
        <f>Augmentation_Data!H63</f>
        <v>1453</v>
      </c>
      <c r="AY83" s="57">
        <f>Augmentation_Data!I63</f>
        <v>597</v>
      </c>
      <c r="BA83" s="15" t="s">
        <v>1</v>
      </c>
      <c r="BB83" s="15" t="s">
        <v>130</v>
      </c>
      <c r="BC83" s="36">
        <f>Augmentation_Data!M63</f>
        <v>148.5</v>
      </c>
      <c r="BD83" s="36">
        <f>Augmentation_Data!N63</f>
        <v>445.5</v>
      </c>
      <c r="BE83" s="36">
        <f>Augmentation_Data!O63</f>
        <v>276.5</v>
      </c>
      <c r="BF83" s="36">
        <f>Augmentation_Data!P63</f>
        <v>289.75</v>
      </c>
      <c r="BG83" s="36">
        <f>Augmentation_Data!Q63</f>
        <v>618.5</v>
      </c>
      <c r="BH83" s="36">
        <f>Augmentation_Data!R63</f>
        <v>597</v>
      </c>
      <c r="BX83"/>
    </row>
    <row r="84" spans="24:76" ht="14.55" customHeight="1">
      <c r="X84" s="21"/>
      <c r="Y84" s="16"/>
      <c r="AR84" s="30" t="s">
        <v>2</v>
      </c>
      <c r="AS84" s="30" t="s">
        <v>132</v>
      </c>
      <c r="AT84" s="57">
        <f>Augmentation_Data!D64</f>
        <v>290.91999999999996</v>
      </c>
      <c r="AU84" s="57">
        <f>Augmentation_Data!E64</f>
        <v>258</v>
      </c>
      <c r="AV84" s="57">
        <f>Augmentation_Data!F64</f>
        <v>214</v>
      </c>
      <c r="AW84" s="57">
        <f>Augmentation_Data!G64</f>
        <v>345</v>
      </c>
      <c r="AX84" s="57">
        <f>Augmentation_Data!H64</f>
        <v>386</v>
      </c>
      <c r="AY84" s="57">
        <f>Augmentation_Data!I64</f>
        <v>319.5</v>
      </c>
      <c r="BA84" s="15" t="s">
        <v>2</v>
      </c>
      <c r="BB84" s="15" t="s">
        <v>132</v>
      </c>
      <c r="BC84" s="36">
        <f>Augmentation_Data!M64</f>
        <v>177.92000000000002</v>
      </c>
      <c r="BD84" s="36">
        <f>Augmentation_Data!N64</f>
        <v>90</v>
      </c>
      <c r="BE84" s="36">
        <f>Augmentation_Data!O64</f>
        <v>107</v>
      </c>
      <c r="BF84" s="36">
        <f>Augmentation_Data!P64</f>
        <v>152</v>
      </c>
      <c r="BG84" s="36">
        <f>Augmentation_Data!Q64</f>
        <v>183</v>
      </c>
      <c r="BH84" s="36">
        <f>Augmentation_Data!R64</f>
        <v>319.5</v>
      </c>
      <c r="BX84"/>
    </row>
    <row r="85" spans="24:76" ht="14.55" customHeight="1">
      <c r="X85" s="21"/>
      <c r="Y85" s="16"/>
      <c r="AR85" s="30" t="s">
        <v>3</v>
      </c>
      <c r="AS85" s="30" t="s">
        <v>133</v>
      </c>
      <c r="AT85" s="57">
        <f>Augmentation_Data!D65</f>
        <v>1394.55</v>
      </c>
      <c r="AU85" s="57">
        <f>Augmentation_Data!E65</f>
        <v>855.67000000000007</v>
      </c>
      <c r="AV85" s="57">
        <f>Augmentation_Data!F65</f>
        <v>557.51</v>
      </c>
      <c r="AW85" s="57">
        <f>Augmentation_Data!G65</f>
        <v>1109.6599999999999</v>
      </c>
      <c r="AX85" s="57">
        <f>Augmentation_Data!H65</f>
        <v>753.62</v>
      </c>
      <c r="AY85" s="57">
        <f>Augmentation_Data!I65</f>
        <v>230.5</v>
      </c>
      <c r="BA85" s="15" t="s">
        <v>3</v>
      </c>
      <c r="BB85" s="15" t="s">
        <v>133</v>
      </c>
      <c r="BC85" s="36">
        <f>Augmentation_Data!M65</f>
        <v>871.41</v>
      </c>
      <c r="BD85" s="36">
        <f>Augmentation_Data!N65</f>
        <v>506.67</v>
      </c>
      <c r="BE85" s="36">
        <f>Augmentation_Data!O65</f>
        <v>288.99</v>
      </c>
      <c r="BF85" s="36">
        <f>Augmentation_Data!P65</f>
        <v>571.66</v>
      </c>
      <c r="BG85" s="36">
        <f>Augmentation_Data!Q65</f>
        <v>563.72</v>
      </c>
      <c r="BH85" s="36">
        <f>Augmentation_Data!R65</f>
        <v>230.5</v>
      </c>
      <c r="BX85"/>
    </row>
    <row r="86" spans="24:76" ht="14.55" customHeight="1">
      <c r="X86" s="21"/>
      <c r="Y86" s="16"/>
      <c r="AR86" s="30" t="s">
        <v>4</v>
      </c>
      <c r="AS86" s="30" t="s">
        <v>134</v>
      </c>
      <c r="AT86" s="57">
        <f>Augmentation_Data!D66</f>
        <v>2661.25</v>
      </c>
      <c r="AU86" s="57">
        <f>Augmentation_Data!E66</f>
        <v>2629.5</v>
      </c>
      <c r="AV86" s="57">
        <f>Augmentation_Data!F66</f>
        <v>2362.5</v>
      </c>
      <c r="AW86" s="57">
        <f>Augmentation_Data!G66</f>
        <v>3240.41</v>
      </c>
      <c r="AX86" s="57">
        <f>Augmentation_Data!H66</f>
        <v>3987.12</v>
      </c>
      <c r="AY86" s="57">
        <f>Augmentation_Data!I66</f>
        <v>895</v>
      </c>
      <c r="BA86" s="15" t="s">
        <v>4</v>
      </c>
      <c r="BB86" s="15" t="s">
        <v>134</v>
      </c>
      <c r="BC86" s="36">
        <f>Augmentation_Data!M66</f>
        <v>1566.75</v>
      </c>
      <c r="BD86" s="36">
        <f>Augmentation_Data!N66</f>
        <v>1337.5</v>
      </c>
      <c r="BE86" s="36">
        <f>Augmentation_Data!O66</f>
        <v>1559.5</v>
      </c>
      <c r="BF86" s="36">
        <f>Augmentation_Data!P66</f>
        <v>1124.4099999999999</v>
      </c>
      <c r="BG86" s="36">
        <f>Augmentation_Data!Q66</f>
        <v>1579.5</v>
      </c>
      <c r="BH86" s="36">
        <f>Augmentation_Data!R66</f>
        <v>895</v>
      </c>
      <c r="BX86"/>
    </row>
    <row r="87" spans="24:76" ht="14.55" customHeight="1">
      <c r="X87" s="21"/>
      <c r="Y87" s="16"/>
      <c r="AR87" s="30" t="s">
        <v>5</v>
      </c>
      <c r="AS87" s="30" t="s">
        <v>135</v>
      </c>
      <c r="AT87" s="57">
        <f>Augmentation_Data!D67</f>
        <v>494.42</v>
      </c>
      <c r="AU87" s="57">
        <f>Augmentation_Data!E67</f>
        <v>817.5</v>
      </c>
      <c r="AV87" s="57">
        <f>Augmentation_Data!F67</f>
        <v>1</v>
      </c>
      <c r="AW87" s="57">
        <f>Augmentation_Data!G67</f>
        <v>327.25</v>
      </c>
      <c r="AX87" s="57">
        <f>Augmentation_Data!H67</f>
        <v>40.75</v>
      </c>
      <c r="AY87" s="57">
        <f>Augmentation_Data!I67</f>
        <v>87.25</v>
      </c>
      <c r="BA87" s="15" t="s">
        <v>5</v>
      </c>
      <c r="BB87" s="15" t="s">
        <v>135</v>
      </c>
      <c r="BC87" s="36">
        <f>Augmentation_Data!M67</f>
        <v>298.67</v>
      </c>
      <c r="BD87" s="36">
        <f>Augmentation_Data!N67</f>
        <v>807.5</v>
      </c>
      <c r="BE87" s="36">
        <f>Augmentation_Data!O67</f>
        <v>1</v>
      </c>
      <c r="BF87" s="36">
        <f>Augmentation_Data!P67</f>
        <v>145.75</v>
      </c>
      <c r="BG87" s="36">
        <f>Augmentation_Data!Q67</f>
        <v>16.75</v>
      </c>
      <c r="BH87" s="36">
        <f>Augmentation_Data!R67</f>
        <v>87.25</v>
      </c>
      <c r="BX87"/>
    </row>
    <row r="88" spans="24:76" ht="14.55" customHeight="1">
      <c r="X88" s="21"/>
      <c r="Y88" s="16"/>
      <c r="AR88" s="30" t="s">
        <v>6</v>
      </c>
      <c r="AS88" s="30" t="s">
        <v>136</v>
      </c>
      <c r="AT88" s="57">
        <f>Augmentation_Data!D68</f>
        <v>0</v>
      </c>
      <c r="AU88" s="57">
        <f>Augmentation_Data!E68</f>
        <v>0</v>
      </c>
      <c r="AV88" s="57">
        <f>Augmentation_Data!F68</f>
        <v>0</v>
      </c>
      <c r="AW88" s="57">
        <f>Augmentation_Data!G68</f>
        <v>0</v>
      </c>
      <c r="AX88" s="57">
        <f>Augmentation_Data!H68</f>
        <v>4.5</v>
      </c>
      <c r="AY88" s="57">
        <f>Augmentation_Data!I68</f>
        <v>12</v>
      </c>
      <c r="BA88" s="15" t="s">
        <v>6</v>
      </c>
      <c r="BB88" s="15" t="s">
        <v>136</v>
      </c>
      <c r="BC88" s="36">
        <f>Augmentation_Data!M68</f>
        <v>0</v>
      </c>
      <c r="BD88" s="36">
        <f>Augmentation_Data!N68</f>
        <v>0</v>
      </c>
      <c r="BE88" s="36">
        <f>Augmentation_Data!O68</f>
        <v>0</v>
      </c>
      <c r="BF88" s="36">
        <f>Augmentation_Data!P68</f>
        <v>0</v>
      </c>
      <c r="BG88" s="36">
        <f>Augmentation_Data!Q68</f>
        <v>1.5</v>
      </c>
      <c r="BH88" s="36">
        <f>Augmentation_Data!R68</f>
        <v>12</v>
      </c>
      <c r="BX88"/>
    </row>
    <row r="89" spans="24:76" ht="14.55" customHeight="1">
      <c r="X89" s="21"/>
      <c r="Y89" s="16"/>
      <c r="AR89" s="30" t="s">
        <v>7</v>
      </c>
      <c r="AS89" s="30" t="s">
        <v>137</v>
      </c>
      <c r="AT89" s="57">
        <f>Augmentation_Data!D69</f>
        <v>0</v>
      </c>
      <c r="AU89" s="57">
        <f>Augmentation_Data!E69</f>
        <v>80</v>
      </c>
      <c r="AV89" s="57">
        <f>Augmentation_Data!F69</f>
        <v>66</v>
      </c>
      <c r="AW89" s="57">
        <f>Augmentation_Data!G69</f>
        <v>53.5</v>
      </c>
      <c r="AX89" s="57">
        <f>Augmentation_Data!H69</f>
        <v>10.75</v>
      </c>
      <c r="AY89" s="57">
        <f>Augmentation_Data!I69</f>
        <v>25.5</v>
      </c>
      <c r="BA89" s="15" t="s">
        <v>7</v>
      </c>
      <c r="BB89" s="15" t="s">
        <v>137</v>
      </c>
      <c r="BC89" s="36">
        <f>Augmentation_Data!M69</f>
        <v>0</v>
      </c>
      <c r="BD89" s="36">
        <f>Augmentation_Data!N69</f>
        <v>80</v>
      </c>
      <c r="BE89" s="36">
        <f>Augmentation_Data!O69</f>
        <v>44</v>
      </c>
      <c r="BF89" s="36">
        <f>Augmentation_Data!P69</f>
        <v>24</v>
      </c>
      <c r="BG89" s="36">
        <f>Augmentation_Data!Q69</f>
        <v>5.25</v>
      </c>
      <c r="BH89" s="36">
        <f>Augmentation_Data!R69</f>
        <v>25.5</v>
      </c>
      <c r="BX89"/>
    </row>
    <row r="90" spans="24:76" ht="14.55" customHeight="1">
      <c r="X90" s="21"/>
      <c r="Y90" s="16"/>
      <c r="AR90" s="30" t="s">
        <v>8</v>
      </c>
      <c r="AS90" s="30" t="s">
        <v>138</v>
      </c>
      <c r="AT90" s="57">
        <f>Augmentation_Data!D70</f>
        <v>192</v>
      </c>
      <c r="AU90" s="57">
        <f>Augmentation_Data!E70</f>
        <v>124</v>
      </c>
      <c r="AV90" s="57">
        <f>Augmentation_Data!F70</f>
        <v>42</v>
      </c>
      <c r="AW90" s="57">
        <f>Augmentation_Data!G70</f>
        <v>8</v>
      </c>
      <c r="AX90" s="57">
        <f>Augmentation_Data!H70</f>
        <v>796</v>
      </c>
      <c r="AY90" s="57">
        <f>Augmentation_Data!I70</f>
        <v>552</v>
      </c>
      <c r="BA90" s="15" t="s">
        <v>8</v>
      </c>
      <c r="BB90" s="15" t="s">
        <v>138</v>
      </c>
      <c r="BC90" s="36">
        <f>Augmentation_Data!M70</f>
        <v>85</v>
      </c>
      <c r="BD90" s="36">
        <f>Augmentation_Data!N70</f>
        <v>106.5</v>
      </c>
      <c r="BE90" s="36">
        <f>Augmentation_Data!O70</f>
        <v>22</v>
      </c>
      <c r="BF90" s="36">
        <f>Augmentation_Data!P70</f>
        <v>0</v>
      </c>
      <c r="BG90" s="36">
        <f>Augmentation_Data!Q70</f>
        <v>147.5</v>
      </c>
      <c r="BH90" s="36">
        <f>Augmentation_Data!R70</f>
        <v>552</v>
      </c>
      <c r="BX90"/>
    </row>
    <row r="91" spans="24:76" ht="14.55" customHeight="1">
      <c r="X91" s="21"/>
      <c r="Y91" s="16"/>
      <c r="AR91" s="30" t="s">
        <v>9</v>
      </c>
      <c r="AS91" s="30" t="s">
        <v>139</v>
      </c>
      <c r="AT91" s="57">
        <f>Augmentation_Data!D71</f>
        <v>0</v>
      </c>
      <c r="AU91" s="57">
        <f>Augmentation_Data!E71</f>
        <v>0</v>
      </c>
      <c r="AV91" s="57">
        <f>Augmentation_Data!F71</f>
        <v>0</v>
      </c>
      <c r="AW91" s="57">
        <f>Augmentation_Data!G71</f>
        <v>0</v>
      </c>
      <c r="AX91" s="57">
        <f>Augmentation_Data!H71</f>
        <v>64</v>
      </c>
      <c r="AY91" s="57">
        <f>Augmentation_Data!I71</f>
        <v>0</v>
      </c>
      <c r="BA91" s="15" t="s">
        <v>9</v>
      </c>
      <c r="BB91" s="15" t="s">
        <v>139</v>
      </c>
      <c r="BC91" s="36">
        <f>Augmentation_Data!M71</f>
        <v>0</v>
      </c>
      <c r="BD91" s="36">
        <f>Augmentation_Data!N71</f>
        <v>0</v>
      </c>
      <c r="BE91" s="36">
        <f>Augmentation_Data!O71</f>
        <v>0</v>
      </c>
      <c r="BF91" s="36">
        <f>Augmentation_Data!P71</f>
        <v>0</v>
      </c>
      <c r="BG91" s="36">
        <f>Augmentation_Data!Q71</f>
        <v>58</v>
      </c>
      <c r="BH91" s="36">
        <f>Augmentation_Data!R71</f>
        <v>0</v>
      </c>
      <c r="BX91"/>
    </row>
    <row r="92" spans="24:76" ht="14.55" customHeight="1">
      <c r="X92" s="21"/>
      <c r="Y92" s="16"/>
      <c r="AR92" s="30" t="s">
        <v>10</v>
      </c>
      <c r="AS92" s="30" t="s">
        <v>140</v>
      </c>
      <c r="AT92" s="57">
        <f>Augmentation_Data!D72</f>
        <v>122</v>
      </c>
      <c r="AU92" s="57">
        <f>Augmentation_Data!E72</f>
        <v>23</v>
      </c>
      <c r="AV92" s="57">
        <f>Augmentation_Data!F72</f>
        <v>14.55</v>
      </c>
      <c r="AW92" s="57">
        <f>Augmentation_Data!G72</f>
        <v>66.8</v>
      </c>
      <c r="AX92" s="57">
        <f>Augmentation_Data!H72</f>
        <v>412.05</v>
      </c>
      <c r="AY92" s="57">
        <f>Augmentation_Data!I72</f>
        <v>99.75</v>
      </c>
      <c r="BA92" s="15" t="s">
        <v>10</v>
      </c>
      <c r="BB92" s="15" t="s">
        <v>140</v>
      </c>
      <c r="BC92" s="36">
        <f>Augmentation_Data!M72</f>
        <v>31</v>
      </c>
      <c r="BD92" s="36">
        <f>Augmentation_Data!N72</f>
        <v>13</v>
      </c>
      <c r="BE92" s="36">
        <f>Augmentation_Data!O72</f>
        <v>14.55</v>
      </c>
      <c r="BF92" s="36">
        <f>Augmentation_Data!P72</f>
        <v>14</v>
      </c>
      <c r="BG92" s="36">
        <f>Augmentation_Data!Q72</f>
        <v>247</v>
      </c>
      <c r="BH92" s="36">
        <f>Augmentation_Data!R72</f>
        <v>99.75</v>
      </c>
      <c r="BX92"/>
    </row>
    <row r="93" spans="24:76" ht="14.55" customHeight="1">
      <c r="X93" s="21"/>
      <c r="Y93" s="16"/>
      <c r="AR93" s="30" t="s">
        <v>11</v>
      </c>
      <c r="AS93" s="30" t="s">
        <v>141</v>
      </c>
      <c r="AT93" s="57">
        <f>Augmentation_Data!D73</f>
        <v>759.06000000000006</v>
      </c>
      <c r="AU93" s="57">
        <f>Augmentation_Data!E73</f>
        <v>553.1</v>
      </c>
      <c r="AV93" s="57">
        <f>Augmentation_Data!F73</f>
        <v>855.86</v>
      </c>
      <c r="AW93" s="57">
        <f>Augmentation_Data!G73</f>
        <v>1697.9</v>
      </c>
      <c r="AX93" s="57">
        <f>Augmentation_Data!H73</f>
        <v>3350.95</v>
      </c>
      <c r="AY93" s="57">
        <f>Augmentation_Data!I73</f>
        <v>1328.5</v>
      </c>
      <c r="BA93" s="15" t="s">
        <v>11</v>
      </c>
      <c r="BB93" s="15" t="s">
        <v>141</v>
      </c>
      <c r="BC93" s="36">
        <f>Augmentation_Data!M73</f>
        <v>9.6</v>
      </c>
      <c r="BD93" s="36">
        <f>Augmentation_Data!N73</f>
        <v>195.7</v>
      </c>
      <c r="BE93" s="36">
        <f>Augmentation_Data!O73</f>
        <v>476.96</v>
      </c>
      <c r="BF93" s="36">
        <f>Augmentation_Data!P73</f>
        <v>533.4</v>
      </c>
      <c r="BG93" s="36">
        <f>Augmentation_Data!Q73</f>
        <v>1913.75</v>
      </c>
      <c r="BH93" s="36">
        <f>Augmentation_Data!R73</f>
        <v>1328.5</v>
      </c>
      <c r="BX93"/>
    </row>
    <row r="94" spans="24:76" ht="14.55" customHeight="1">
      <c r="X94" s="21"/>
      <c r="Y94" s="16"/>
      <c r="AR94" s="30" t="s">
        <v>12</v>
      </c>
      <c r="AS94" s="30" t="s">
        <v>142</v>
      </c>
      <c r="AT94" s="57">
        <f>Augmentation_Data!D74</f>
        <v>110</v>
      </c>
      <c r="AU94" s="57">
        <f>Augmentation_Data!E74</f>
        <v>220.25</v>
      </c>
      <c r="AV94" s="57">
        <f>Augmentation_Data!F74</f>
        <v>586</v>
      </c>
      <c r="AW94" s="57">
        <f>Augmentation_Data!G74</f>
        <v>819</v>
      </c>
      <c r="AX94" s="57">
        <f>Augmentation_Data!H74</f>
        <v>867.25</v>
      </c>
      <c r="AY94" s="57">
        <f>Augmentation_Data!I74</f>
        <v>367.75</v>
      </c>
      <c r="BA94" s="15" t="s">
        <v>12</v>
      </c>
      <c r="BB94" s="15" t="s">
        <v>142</v>
      </c>
      <c r="BC94" s="36">
        <f>Augmentation_Data!M74</f>
        <v>35</v>
      </c>
      <c r="BD94" s="36">
        <f>Augmentation_Data!N74</f>
        <v>108.5</v>
      </c>
      <c r="BE94" s="36">
        <f>Augmentation_Data!O74</f>
        <v>455</v>
      </c>
      <c r="BF94" s="36">
        <f>Augmentation_Data!P74</f>
        <v>383.25</v>
      </c>
      <c r="BG94" s="36">
        <f>Augmentation_Data!Q74</f>
        <v>308.25</v>
      </c>
      <c r="BH94" s="36">
        <f>Augmentation_Data!R74</f>
        <v>367.75</v>
      </c>
      <c r="BX94"/>
    </row>
    <row r="95" spans="24:76" ht="14.55" customHeight="1">
      <c r="X95" s="21"/>
      <c r="Y95" s="16"/>
      <c r="AR95" s="30" t="s">
        <v>13</v>
      </c>
      <c r="AS95" s="30" t="s">
        <v>143</v>
      </c>
      <c r="AT95" s="57">
        <f>Augmentation_Data!D75</f>
        <v>231</v>
      </c>
      <c r="AU95" s="57">
        <f>Augmentation_Data!E75</f>
        <v>0</v>
      </c>
      <c r="AV95" s="57">
        <f>Augmentation_Data!F75</f>
        <v>0</v>
      </c>
      <c r="AW95" s="57">
        <f>Augmentation_Data!G75</f>
        <v>6</v>
      </c>
      <c r="AX95" s="57">
        <f>Augmentation_Data!H75</f>
        <v>0</v>
      </c>
      <c r="AY95" s="57">
        <f>Augmentation_Data!I75</f>
        <v>0</v>
      </c>
      <c r="BA95" s="15" t="s">
        <v>13</v>
      </c>
      <c r="BB95" s="15" t="s">
        <v>143</v>
      </c>
      <c r="BC95" s="36">
        <f>Augmentation_Data!M75</f>
        <v>136</v>
      </c>
      <c r="BD95" s="36">
        <f>Augmentation_Data!N75</f>
        <v>0</v>
      </c>
      <c r="BE95" s="36">
        <f>Augmentation_Data!O75</f>
        <v>0</v>
      </c>
      <c r="BF95" s="36">
        <f>Augmentation_Data!P75</f>
        <v>0</v>
      </c>
      <c r="BG95" s="36">
        <f>Augmentation_Data!Q75</f>
        <v>0</v>
      </c>
      <c r="BH95" s="36">
        <f>Augmentation_Data!R75</f>
        <v>0</v>
      </c>
      <c r="BX95"/>
    </row>
    <row r="96" spans="24:76" ht="14.55" customHeight="1">
      <c r="X96" s="21"/>
      <c r="Y96" s="16"/>
      <c r="AR96" s="30" t="s">
        <v>14</v>
      </c>
      <c r="AS96" s="30" t="s">
        <v>144</v>
      </c>
      <c r="AT96" s="57">
        <f>Augmentation_Data!D76</f>
        <v>96.5</v>
      </c>
      <c r="AU96" s="57">
        <f>Augmentation_Data!E76</f>
        <v>178</v>
      </c>
      <c r="AV96" s="57">
        <f>Augmentation_Data!F76</f>
        <v>87.5</v>
      </c>
      <c r="AW96" s="57">
        <f>Augmentation_Data!G76</f>
        <v>54.5</v>
      </c>
      <c r="AX96" s="57">
        <f>Augmentation_Data!H76</f>
        <v>22.5</v>
      </c>
      <c r="AY96" s="57">
        <f>Augmentation_Data!I76</f>
        <v>78.5</v>
      </c>
      <c r="BA96" s="15" t="s">
        <v>14</v>
      </c>
      <c r="BB96" s="15" t="s">
        <v>144</v>
      </c>
      <c r="BC96" s="36">
        <f>Augmentation_Data!M76</f>
        <v>41</v>
      </c>
      <c r="BD96" s="36">
        <f>Augmentation_Data!N76</f>
        <v>138</v>
      </c>
      <c r="BE96" s="36">
        <f>Augmentation_Data!O76</f>
        <v>40</v>
      </c>
      <c r="BF96" s="36">
        <f>Augmentation_Data!P76</f>
        <v>38.5</v>
      </c>
      <c r="BG96" s="36">
        <f>Augmentation_Data!Q76</f>
        <v>22.5</v>
      </c>
      <c r="BH96" s="36">
        <f>Augmentation_Data!R76</f>
        <v>78.5</v>
      </c>
      <c r="BX96"/>
    </row>
    <row r="97" spans="1:93" ht="14.55" customHeight="1">
      <c r="X97" s="21"/>
      <c r="Y97" s="16"/>
      <c r="AR97" s="30" t="s">
        <v>15</v>
      </c>
      <c r="AS97" s="30" t="s">
        <v>145</v>
      </c>
      <c r="AT97" s="57">
        <f>Augmentation_Data!D77</f>
        <v>0</v>
      </c>
      <c r="AU97" s="57">
        <f>Augmentation_Data!E77</f>
        <v>8.5</v>
      </c>
      <c r="AV97" s="57">
        <f>Augmentation_Data!F77</f>
        <v>91.5</v>
      </c>
      <c r="AW97" s="57">
        <f>Augmentation_Data!G77</f>
        <v>213</v>
      </c>
      <c r="AX97" s="57">
        <f>Augmentation_Data!H77</f>
        <v>234.1</v>
      </c>
      <c r="AY97" s="57">
        <f>Augmentation_Data!I77</f>
        <v>33.25</v>
      </c>
      <c r="BA97" s="15" t="s">
        <v>15</v>
      </c>
      <c r="BB97" s="15" t="s">
        <v>145</v>
      </c>
      <c r="BC97" s="36">
        <f>Augmentation_Data!M77</f>
        <v>0</v>
      </c>
      <c r="BD97" s="36">
        <f>Augmentation_Data!N77</f>
        <v>8.5</v>
      </c>
      <c r="BE97" s="36">
        <f>Augmentation_Data!O77</f>
        <v>19</v>
      </c>
      <c r="BF97" s="36">
        <f>Augmentation_Data!P77</f>
        <v>68.5</v>
      </c>
      <c r="BG97" s="36">
        <f>Augmentation_Data!Q77</f>
        <v>179.6</v>
      </c>
      <c r="BH97" s="36">
        <f>Augmentation_Data!R77</f>
        <v>33.25</v>
      </c>
      <c r="BX97"/>
    </row>
    <row r="98" spans="1:93" ht="14.55" customHeight="1">
      <c r="X98" s="21"/>
      <c r="Y98" s="16"/>
      <c r="AR98" s="30" t="s">
        <v>27</v>
      </c>
      <c r="AS98" s="30" t="s">
        <v>29</v>
      </c>
      <c r="AT98" s="57">
        <f>Augmentation_Data!D78</f>
        <v>6899.2</v>
      </c>
      <c r="AU98" s="57">
        <f>Augmentation_Data!E78</f>
        <v>6466.3200000000006</v>
      </c>
      <c r="AV98" s="57">
        <f>Augmentation_Data!F78</f>
        <v>5934.42</v>
      </c>
      <c r="AW98" s="57">
        <f>Augmentation_Data!G78</f>
        <v>9156.52</v>
      </c>
      <c r="AX98" s="57">
        <f>Augmentation_Data!H78</f>
        <v>12430.59</v>
      </c>
      <c r="AY98" s="57">
        <f>Augmentation_Data!I78</f>
        <v>4626.5</v>
      </c>
      <c r="BA98" s="15" t="s">
        <v>27</v>
      </c>
      <c r="BB98" s="14" t="s">
        <v>29</v>
      </c>
      <c r="BC98" s="36">
        <f>Augmentation_Data!M78</f>
        <v>3410.85</v>
      </c>
      <c r="BD98" s="36">
        <f>Augmentation_Data!N78</f>
        <v>3851.37</v>
      </c>
      <c r="BE98" s="36">
        <f>Augmentation_Data!O78</f>
        <v>3357.75</v>
      </c>
      <c r="BF98" s="36">
        <f>Augmentation_Data!P78</f>
        <v>3350.72</v>
      </c>
      <c r="BG98" s="36">
        <f>Augmentation_Data!Q78</f>
        <v>5885.8200000000006</v>
      </c>
      <c r="BH98" s="36">
        <f>Augmentation_Data!R78</f>
        <v>4626.5</v>
      </c>
      <c r="BX98"/>
    </row>
    <row r="99" spans="1:93" ht="14.55" customHeight="1">
      <c r="X99" s="21"/>
      <c r="Y99" s="16"/>
      <c r="AR99"/>
      <c r="AZ99" s="10"/>
      <c r="BA99" s="10"/>
      <c r="BX99"/>
    </row>
    <row r="100" spans="1:93" ht="14.55" customHeight="1">
      <c r="X100" s="21"/>
      <c r="Y100" s="16"/>
      <c r="AR100"/>
      <c r="BX100"/>
    </row>
    <row r="101" spans="1:93" ht="14.55" customHeight="1">
      <c r="X101" s="21"/>
      <c r="Y101" s="16"/>
      <c r="AR101"/>
      <c r="BX101"/>
    </row>
    <row r="102" spans="1:93" ht="19.2" customHeight="1">
      <c r="X102" s="21"/>
      <c r="Y102" s="16"/>
      <c r="AR102"/>
      <c r="BX102"/>
    </row>
    <row r="103" spans="1:93" s="10" customFormat="1" ht="14.5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21"/>
      <c r="Y103" s="16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 s="4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</row>
    <row r="104" spans="1:93" ht="14.55" customHeight="1">
      <c r="X104" s="21"/>
      <c r="Y104" s="16"/>
      <c r="AR104"/>
      <c r="BX104"/>
    </row>
    <row r="105" spans="1:93" ht="14.55" customHeight="1">
      <c r="X105" s="21"/>
      <c r="Y105" s="16"/>
      <c r="AR105"/>
      <c r="BX105"/>
    </row>
    <row r="106" spans="1:93" ht="14.55" customHeight="1">
      <c r="X106" s="21"/>
      <c r="Y106" s="16"/>
      <c r="AR106"/>
      <c r="BX106"/>
    </row>
    <row r="107" spans="1:93" ht="14.55" customHeight="1">
      <c r="X107" s="21"/>
      <c r="Y107" s="16"/>
      <c r="AR107"/>
      <c r="BX107"/>
    </row>
    <row r="108" spans="1:93" ht="14.55" customHeight="1">
      <c r="X108" s="21"/>
      <c r="Y108" s="16"/>
      <c r="AR108"/>
      <c r="BX108"/>
    </row>
    <row r="109" spans="1:93" ht="14.55" customHeight="1">
      <c r="X109" s="21"/>
      <c r="Y109" s="16"/>
      <c r="AR109"/>
      <c r="BX109"/>
    </row>
    <row r="110" spans="1:93" ht="14.55" customHeight="1">
      <c r="X110" s="21"/>
      <c r="Y110" s="16"/>
      <c r="AR110"/>
      <c r="BX110"/>
    </row>
    <row r="111" spans="1:93" ht="14.55" customHeight="1">
      <c r="X111" s="21"/>
      <c r="Y111" s="16"/>
      <c r="AR111"/>
      <c r="BX111"/>
    </row>
    <row r="112" spans="1:93" ht="14.55" customHeight="1">
      <c r="X112" s="21"/>
      <c r="Y112" s="16"/>
      <c r="AR112"/>
      <c r="BX112"/>
    </row>
    <row r="113" spans="24:76" ht="14.55" customHeight="1">
      <c r="X113" s="21"/>
      <c r="Y113" s="16"/>
      <c r="AR113"/>
      <c r="BX113"/>
    </row>
    <row r="114" spans="24:76" ht="14.55" customHeight="1">
      <c r="X114" s="21"/>
      <c r="Y114" s="16"/>
      <c r="AR114"/>
      <c r="BX114"/>
    </row>
    <row r="115" spans="24:76" ht="14.55" customHeight="1">
      <c r="X115" s="21"/>
      <c r="Y115" s="16"/>
      <c r="AR115"/>
      <c r="BX115"/>
    </row>
    <row r="116" spans="24:76" ht="14.55" customHeight="1">
      <c r="X116" s="21"/>
      <c r="Y116" s="16"/>
      <c r="AR116"/>
      <c r="BX116"/>
    </row>
    <row r="117" spans="24:76" ht="14.55" customHeight="1">
      <c r="X117" s="21"/>
      <c r="Y117" s="16"/>
      <c r="AR117"/>
      <c r="BX117"/>
    </row>
    <row r="118" spans="24:76" ht="14.55" customHeight="1">
      <c r="X118" s="21"/>
      <c r="Y118" s="16"/>
      <c r="AR118"/>
      <c r="BX118"/>
    </row>
    <row r="119" spans="24:76" ht="14.55" customHeight="1">
      <c r="X119" s="21"/>
      <c r="Y119" s="16"/>
      <c r="AR119"/>
      <c r="BX119"/>
    </row>
    <row r="120" spans="24:76" ht="14.55" customHeight="1">
      <c r="X120" s="21"/>
      <c r="Y120" s="16"/>
      <c r="AR120"/>
      <c r="BX120"/>
    </row>
    <row r="121" spans="24:76" ht="14.55" customHeight="1">
      <c r="X121" s="21"/>
      <c r="Y121" s="16"/>
      <c r="AR121"/>
      <c r="BX121"/>
    </row>
    <row r="122" spans="24:76" ht="14.55" customHeight="1">
      <c r="X122" s="21"/>
      <c r="Y122" s="16"/>
      <c r="AR122"/>
      <c r="BX122"/>
    </row>
    <row r="123" spans="24:76" ht="14.55" customHeight="1">
      <c r="X123" s="21"/>
      <c r="Y123" s="16"/>
      <c r="AR123"/>
      <c r="BX123"/>
    </row>
    <row r="124" spans="24:76" ht="14.55" customHeight="1">
      <c r="X124" s="21"/>
      <c r="Y124" s="16"/>
      <c r="AR124"/>
      <c r="AZ124" s="10"/>
      <c r="BA124" s="10"/>
      <c r="BX124"/>
    </row>
    <row r="125" spans="24:76" ht="14.55" customHeight="1">
      <c r="X125" s="21"/>
      <c r="Y125" s="16"/>
      <c r="AR125"/>
      <c r="BX125"/>
    </row>
    <row r="126" spans="24:76" ht="14.55" customHeight="1">
      <c r="X126" s="21"/>
      <c r="Y126" s="16"/>
      <c r="AR126"/>
      <c r="BX126"/>
    </row>
    <row r="127" spans="24:76" ht="19.2" customHeight="1">
      <c r="X127" s="21"/>
      <c r="Y127" s="16"/>
      <c r="AR127"/>
      <c r="BX127"/>
    </row>
    <row r="128" spans="24:76" ht="14.55" customHeight="1">
      <c r="X128" s="21"/>
      <c r="Y128" s="16"/>
      <c r="AR128"/>
      <c r="BX128"/>
    </row>
    <row r="129" spans="1:93" s="10" customFormat="1" ht="14.5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21"/>
      <c r="Y129" s="16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 s="4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X129"/>
      <c r="BY129"/>
      <c r="BZ129"/>
      <c r="CA129"/>
      <c r="CB129"/>
      <c r="CC129"/>
      <c r="CD129"/>
      <c r="CE129"/>
      <c r="CF129"/>
      <c r="CG129"/>
      <c r="CH129"/>
      <c r="CI129"/>
      <c r="CJ129"/>
      <c r="CK129"/>
      <c r="CL129"/>
      <c r="CM129"/>
      <c r="CN129"/>
      <c r="CO129"/>
    </row>
    <row r="130" spans="1:93" ht="14.55" customHeight="1">
      <c r="X130" s="21"/>
      <c r="Y130" s="16"/>
      <c r="AR130"/>
      <c r="BX130"/>
    </row>
    <row r="131" spans="1:93" ht="14.55" customHeight="1">
      <c r="X131" s="21"/>
      <c r="Y131" s="16"/>
      <c r="AR131"/>
      <c r="BX131"/>
    </row>
    <row r="132" spans="1:93" ht="14.55" customHeight="1">
      <c r="X132" s="21"/>
      <c r="Y132" s="16"/>
      <c r="AR132"/>
      <c r="BX132"/>
    </row>
    <row r="133" spans="1:93" ht="14.55" customHeight="1">
      <c r="X133" s="21"/>
      <c r="Y133" s="16"/>
      <c r="AR133"/>
      <c r="BX133"/>
    </row>
    <row r="134" spans="1:93" ht="14.55" customHeight="1">
      <c r="X134" s="21"/>
      <c r="Y134" s="16"/>
      <c r="AR134"/>
      <c r="BX134"/>
    </row>
    <row r="135" spans="1:93" ht="14.55" customHeight="1">
      <c r="X135" s="21"/>
      <c r="Y135" s="16"/>
      <c r="AR135"/>
      <c r="BX135"/>
    </row>
    <row r="136" spans="1:93" ht="14.55" customHeight="1">
      <c r="X136" s="21"/>
      <c r="Y136" s="16"/>
      <c r="AR136"/>
      <c r="BX136"/>
    </row>
    <row r="137" spans="1:93" ht="14.55" customHeight="1">
      <c r="X137" s="21"/>
      <c r="Y137" s="16"/>
      <c r="AR137"/>
      <c r="BX137"/>
    </row>
    <row r="138" spans="1:93" ht="14.55" customHeight="1">
      <c r="X138" s="21"/>
      <c r="Y138" s="16"/>
      <c r="AR138"/>
      <c r="BX138"/>
    </row>
    <row r="139" spans="1:93" ht="14.55" customHeight="1">
      <c r="X139" s="21"/>
      <c r="Y139" s="16"/>
      <c r="AR139"/>
      <c r="BX139"/>
    </row>
    <row r="140" spans="1:93" ht="14.55" customHeight="1">
      <c r="X140" s="21"/>
      <c r="Y140" s="16"/>
      <c r="AR140"/>
      <c r="BX140"/>
    </row>
    <row r="141" spans="1:93" ht="14.55" customHeight="1">
      <c r="X141" s="21"/>
      <c r="Y141" s="16"/>
      <c r="AR141"/>
      <c r="BX141"/>
    </row>
    <row r="142" spans="1:93" ht="14.55" customHeight="1">
      <c r="X142" s="21"/>
      <c r="Y142" s="16"/>
      <c r="AR142"/>
      <c r="BX142"/>
    </row>
    <row r="143" spans="1:93" ht="14.55" customHeight="1">
      <c r="X143" s="21"/>
      <c r="Y143" s="16"/>
      <c r="AR143"/>
      <c r="BX143"/>
    </row>
    <row r="144" spans="1:93" ht="14.55" customHeight="1">
      <c r="X144" s="21"/>
      <c r="Y144" s="16"/>
      <c r="AR144"/>
      <c r="BX144"/>
    </row>
    <row r="145" spans="24:76" ht="14.55" customHeight="1">
      <c r="X145" s="21"/>
      <c r="Y145" s="16"/>
      <c r="AR145"/>
      <c r="BX145"/>
    </row>
    <row r="146" spans="24:76" ht="14.55" customHeight="1">
      <c r="X146" s="21"/>
      <c r="Y146" s="16"/>
      <c r="AR146"/>
      <c r="BX146"/>
    </row>
    <row r="147" spans="24:76" ht="14.55" customHeight="1">
      <c r="X147" s="21"/>
      <c r="Y147" s="16"/>
      <c r="AR147"/>
      <c r="BX147"/>
    </row>
    <row r="148" spans="24:76" ht="14.55" customHeight="1">
      <c r="X148" s="21"/>
      <c r="Y148" s="16"/>
      <c r="AR148"/>
      <c r="BX148"/>
    </row>
    <row r="149" spans="24:76" ht="14.55" customHeight="1">
      <c r="X149" s="21"/>
      <c r="Y149" s="16"/>
      <c r="AR149"/>
      <c r="BX149"/>
    </row>
    <row r="150" spans="24:76" ht="14.55" customHeight="1">
      <c r="X150" s="21"/>
      <c r="Y150" s="16"/>
      <c r="AR150"/>
      <c r="AZ150" s="10"/>
      <c r="BA150" s="10"/>
      <c r="BX150"/>
    </row>
    <row r="151" spans="24:76" ht="14.55" customHeight="1">
      <c r="X151" s="21"/>
      <c r="Y151" s="16"/>
      <c r="AR151"/>
      <c r="BX151"/>
    </row>
    <row r="152" spans="24:76" ht="19.2" customHeight="1">
      <c r="X152" s="21"/>
      <c r="Y152" s="16"/>
      <c r="AR152"/>
      <c r="BX152"/>
    </row>
    <row r="153" spans="24:76" ht="14.55" customHeight="1">
      <c r="X153" s="21"/>
      <c r="Y153" s="16"/>
      <c r="AR153"/>
      <c r="BX153"/>
    </row>
    <row r="154" spans="24:76" ht="14.55" customHeight="1">
      <c r="X154" s="21"/>
      <c r="Y154" s="16"/>
      <c r="AR154"/>
      <c r="BX154"/>
    </row>
    <row r="155" spans="24:76" ht="14.55" customHeight="1">
      <c r="X155" s="21"/>
      <c r="Y155" s="16"/>
      <c r="AR155"/>
      <c r="BX155"/>
    </row>
    <row r="156" spans="24:76" ht="14.55" customHeight="1">
      <c r="X156" s="21"/>
      <c r="Y156" s="16"/>
      <c r="AR156"/>
      <c r="BX156"/>
    </row>
    <row r="157" spans="24:76" ht="14.55" customHeight="1">
      <c r="X157" s="21"/>
      <c r="Y157" s="16"/>
      <c r="AR157"/>
      <c r="BX157"/>
    </row>
    <row r="158" spans="24:76" ht="14.55" customHeight="1">
      <c r="X158" s="21"/>
      <c r="Y158" s="16"/>
      <c r="AR158"/>
      <c r="BX158"/>
    </row>
    <row r="159" spans="24:76" ht="14.55" customHeight="1">
      <c r="X159" s="21"/>
      <c r="Y159" s="16"/>
      <c r="AR159"/>
      <c r="BX159"/>
    </row>
    <row r="160" spans="24:76" ht="14.55" customHeight="1">
      <c r="X160" s="21"/>
      <c r="Y160" s="16"/>
      <c r="AR160"/>
      <c r="BX160"/>
    </row>
    <row r="161" spans="24:76" ht="14.55" customHeight="1">
      <c r="X161" s="21"/>
      <c r="Y161" s="16"/>
      <c r="AR161"/>
      <c r="BX161"/>
    </row>
    <row r="162" spans="24:76" ht="14.55" customHeight="1">
      <c r="X162" s="21"/>
      <c r="Y162" s="16"/>
      <c r="AR162"/>
      <c r="BX162"/>
    </row>
    <row r="163" spans="24:76" ht="14.55" customHeight="1">
      <c r="X163" s="21"/>
      <c r="Y163" s="16"/>
      <c r="AR163"/>
      <c r="BX163"/>
    </row>
    <row r="164" spans="24:76" ht="14.55" customHeight="1">
      <c r="X164" s="21"/>
      <c r="Y164" s="16"/>
      <c r="AR164"/>
      <c r="BX164"/>
    </row>
    <row r="165" spans="24:76" ht="14.55" customHeight="1">
      <c r="X165" s="21"/>
      <c r="Y165" s="16"/>
      <c r="AR165"/>
      <c r="BX165"/>
    </row>
    <row r="166" spans="24:76" ht="14.55" customHeight="1">
      <c r="X166" s="21"/>
      <c r="Y166" s="16"/>
      <c r="AR166"/>
      <c r="BX166"/>
    </row>
    <row r="167" spans="24:76" ht="14.55" customHeight="1">
      <c r="X167" s="21"/>
      <c r="Y167" s="16"/>
      <c r="AR167"/>
      <c r="BX167"/>
    </row>
    <row r="168" spans="24:76" ht="14.55" customHeight="1">
      <c r="X168" s="21"/>
      <c r="Y168" s="16"/>
      <c r="AR168"/>
      <c r="BX168"/>
    </row>
    <row r="169" spans="24:76" ht="14.55" customHeight="1">
      <c r="X169" s="21"/>
      <c r="Y169" s="16"/>
      <c r="AR169"/>
      <c r="BX169"/>
    </row>
    <row r="170" spans="24:76" ht="14.55" customHeight="1">
      <c r="X170" s="21"/>
      <c r="Y170" s="16"/>
      <c r="AR170"/>
      <c r="BX170"/>
    </row>
    <row r="171" spans="24:76" ht="14.55" customHeight="1">
      <c r="X171" s="21"/>
      <c r="Y171" s="16"/>
      <c r="AR171"/>
      <c r="BX171"/>
    </row>
    <row r="172" spans="24:76" ht="14.55" customHeight="1">
      <c r="X172" s="21"/>
      <c r="Y172" s="16"/>
      <c r="AR172"/>
      <c r="BX172"/>
    </row>
    <row r="173" spans="24:76" ht="14.55" customHeight="1">
      <c r="X173" s="21"/>
      <c r="Y173" s="16"/>
      <c r="AR173"/>
      <c r="BX173"/>
    </row>
    <row r="174" spans="24:76" ht="14.55" customHeight="1">
      <c r="X174" s="21"/>
      <c r="Y174" s="16"/>
      <c r="AR174"/>
      <c r="BX174"/>
    </row>
    <row r="175" spans="24:76" ht="14.25" customHeight="1">
      <c r="X175" s="21"/>
      <c r="Y175" s="16"/>
      <c r="AR175"/>
      <c r="BX175"/>
    </row>
    <row r="176" spans="24:76" ht="14.55" customHeight="1">
      <c r="X176" s="21"/>
      <c r="Y176" s="16"/>
      <c r="AR176"/>
      <c r="BX176"/>
    </row>
    <row r="177" spans="24:76" ht="19.2" customHeight="1">
      <c r="X177" s="21"/>
      <c r="Y177" s="16"/>
      <c r="AR177"/>
      <c r="BX177"/>
    </row>
    <row r="178" spans="24:76" ht="14.55" customHeight="1">
      <c r="X178" s="21"/>
      <c r="Y178" s="16"/>
      <c r="AR178"/>
      <c r="BX178"/>
    </row>
    <row r="179" spans="24:76" ht="14.55" customHeight="1">
      <c r="X179" s="21"/>
      <c r="Y179" s="16"/>
      <c r="AR179"/>
      <c r="BX179"/>
    </row>
    <row r="180" spans="24:76" ht="14.55" customHeight="1">
      <c r="X180" s="21"/>
      <c r="Y180" s="16"/>
      <c r="AR180"/>
      <c r="BX180"/>
    </row>
    <row r="181" spans="24:76" ht="14.55" customHeight="1">
      <c r="X181" s="21"/>
      <c r="Y181" s="16"/>
      <c r="AR181"/>
      <c r="BX181"/>
    </row>
    <row r="182" spans="24:76" ht="14.55" customHeight="1">
      <c r="X182" s="21"/>
      <c r="Y182" s="16"/>
      <c r="AR182"/>
      <c r="BX182"/>
    </row>
    <row r="183" spans="24:76" ht="14.55" customHeight="1">
      <c r="X183" s="21"/>
      <c r="Y183" s="16"/>
      <c r="AR183"/>
      <c r="BX183"/>
    </row>
    <row r="184" spans="24:76" ht="14.55" customHeight="1">
      <c r="X184" s="21"/>
      <c r="Y184" s="16"/>
      <c r="AR184"/>
      <c r="BX184"/>
    </row>
    <row r="185" spans="24:76" ht="14.55" customHeight="1">
      <c r="X185" s="21"/>
      <c r="Y185" s="16"/>
      <c r="AR185"/>
      <c r="BX185"/>
    </row>
    <row r="186" spans="24:76" ht="14.55" customHeight="1">
      <c r="X186" s="21"/>
      <c r="Y186" s="16"/>
      <c r="AR186"/>
      <c r="BX186"/>
    </row>
    <row r="187" spans="24:76" ht="14.55" customHeight="1">
      <c r="X187" s="21"/>
      <c r="Y187" s="16"/>
      <c r="AR187"/>
      <c r="BX187"/>
    </row>
    <row r="188" spans="24:76" ht="14.55" customHeight="1">
      <c r="X188" s="21"/>
      <c r="Y188" s="16"/>
      <c r="AR188"/>
      <c r="BX188"/>
    </row>
    <row r="189" spans="24:76" ht="14.55" customHeight="1">
      <c r="X189" s="21"/>
      <c r="Y189" s="16"/>
      <c r="AR189"/>
      <c r="BX189"/>
    </row>
    <row r="190" spans="24:76" ht="14.55" customHeight="1">
      <c r="X190" s="21"/>
      <c r="Y190" s="16"/>
      <c r="AR190"/>
      <c r="BX190"/>
    </row>
    <row r="191" spans="24:76" ht="14.55" customHeight="1">
      <c r="X191" s="21"/>
      <c r="Y191" s="16"/>
      <c r="AR191"/>
      <c r="BX191"/>
    </row>
    <row r="192" spans="24:76" ht="14.55" customHeight="1">
      <c r="X192" s="21"/>
      <c r="Y192" s="16"/>
      <c r="AR192"/>
      <c r="BX192"/>
    </row>
    <row r="193" spans="24:76" ht="14.55" customHeight="1">
      <c r="X193" s="21"/>
      <c r="Y193" s="16"/>
      <c r="AR193"/>
      <c r="BX193"/>
    </row>
    <row r="194" spans="24:76" ht="14.55" customHeight="1">
      <c r="X194" s="21"/>
      <c r="Y194" s="16"/>
      <c r="AR194"/>
      <c r="BX194"/>
    </row>
    <row r="195" spans="24:76" ht="14.55" customHeight="1">
      <c r="X195" s="21"/>
      <c r="Y195" s="16"/>
      <c r="AR195"/>
      <c r="BX195"/>
    </row>
    <row r="196" spans="24:76" ht="14.55" customHeight="1">
      <c r="X196" s="21"/>
      <c r="Y196" s="16"/>
      <c r="AR196"/>
      <c r="BX196"/>
    </row>
    <row r="197" spans="24:76" ht="14.55" customHeight="1">
      <c r="X197" s="21"/>
      <c r="Y197" s="16"/>
      <c r="AR197"/>
      <c r="BX197"/>
    </row>
    <row r="198" spans="24:76" ht="14.55" customHeight="1">
      <c r="X198" s="21"/>
      <c r="Y198" s="16"/>
      <c r="AR198"/>
      <c r="BX198"/>
    </row>
    <row r="199" spans="24:76" ht="14.55" customHeight="1">
      <c r="X199" s="21"/>
      <c r="Y199" s="16"/>
      <c r="AR199"/>
      <c r="BX199"/>
    </row>
    <row r="200" spans="24:76" ht="13.5" customHeight="1">
      <c r="X200" s="21"/>
      <c r="Y200" s="16"/>
      <c r="AR200"/>
      <c r="BX200"/>
    </row>
    <row r="201" spans="24:76" ht="14.55" customHeight="1">
      <c r="X201" s="21"/>
      <c r="Y201" s="16"/>
      <c r="AR201"/>
      <c r="BX201"/>
    </row>
    <row r="202" spans="24:76" ht="19.2" customHeight="1">
      <c r="X202" s="21"/>
      <c r="Y202" s="16"/>
      <c r="AR202"/>
      <c r="BX202"/>
    </row>
    <row r="203" spans="24:76" ht="14.55" customHeight="1">
      <c r="X203" s="21"/>
      <c r="Y203" s="16"/>
      <c r="AR203"/>
      <c r="BX203"/>
    </row>
    <row r="204" spans="24:76" ht="14.55" customHeight="1">
      <c r="X204" s="21"/>
      <c r="Y204" s="16"/>
      <c r="AR204"/>
      <c r="BX204"/>
    </row>
    <row r="205" spans="24:76" ht="14.55" customHeight="1">
      <c r="X205" s="21"/>
      <c r="Y205" s="16"/>
      <c r="AR205"/>
      <c r="BX205"/>
    </row>
    <row r="206" spans="24:76" ht="14.55" customHeight="1">
      <c r="X206" s="21"/>
      <c r="Y206" s="16"/>
      <c r="AR206"/>
      <c r="BX206"/>
    </row>
    <row r="207" spans="24:76" ht="14.55" customHeight="1">
      <c r="X207" s="21"/>
      <c r="Y207" s="16"/>
      <c r="AR207"/>
      <c r="BX207"/>
    </row>
    <row r="208" spans="24:76" ht="14.55" customHeight="1">
      <c r="X208" s="21"/>
      <c r="Y208" s="16"/>
      <c r="AR208"/>
      <c r="BX208"/>
    </row>
    <row r="209" spans="24:76" ht="14.55" customHeight="1">
      <c r="X209" s="21"/>
      <c r="Y209" s="16"/>
      <c r="AR209"/>
      <c r="BX209"/>
    </row>
    <row r="210" spans="24:76" ht="14.55" customHeight="1">
      <c r="X210" s="21"/>
      <c r="Y210" s="16"/>
      <c r="AR210"/>
      <c r="BX210"/>
    </row>
    <row r="211" spans="24:76" ht="14.55" customHeight="1">
      <c r="X211" s="21"/>
      <c r="Y211" s="16"/>
      <c r="AR211"/>
      <c r="BX211"/>
    </row>
    <row r="212" spans="24:76" ht="14.55" customHeight="1">
      <c r="X212" s="21"/>
      <c r="Y212" s="16"/>
      <c r="AR212"/>
      <c r="BX212"/>
    </row>
    <row r="213" spans="24:76" ht="14.55" customHeight="1">
      <c r="X213" s="21"/>
      <c r="Y213" s="16"/>
      <c r="AR213"/>
      <c r="BX213"/>
    </row>
    <row r="214" spans="24:76" ht="14.55" customHeight="1">
      <c r="X214" s="21"/>
      <c r="Y214" s="16"/>
      <c r="AR214"/>
      <c r="BX214"/>
    </row>
    <row r="215" spans="24:76" ht="14.55" customHeight="1">
      <c r="X215" s="21"/>
      <c r="Y215" s="16"/>
      <c r="AR215"/>
      <c r="BX215"/>
    </row>
    <row r="216" spans="24:76" ht="14.55" customHeight="1">
      <c r="X216" s="21"/>
      <c r="Y216" s="16"/>
      <c r="AR216"/>
      <c r="BX216"/>
    </row>
    <row r="217" spans="24:76" ht="14.55" customHeight="1">
      <c r="X217" s="21"/>
      <c r="Y217" s="16"/>
      <c r="AR217"/>
      <c r="BX217"/>
    </row>
    <row r="218" spans="24:76" ht="14.55" customHeight="1">
      <c r="X218" s="21"/>
      <c r="Y218" s="16"/>
      <c r="AR218"/>
      <c r="BX218"/>
    </row>
    <row r="219" spans="24:76" ht="14.55" customHeight="1">
      <c r="X219" s="21"/>
      <c r="Y219" s="16"/>
      <c r="AR219"/>
      <c r="BX219"/>
    </row>
    <row r="220" spans="24:76" ht="14.55" customHeight="1">
      <c r="X220" s="21"/>
      <c r="Y220" s="16"/>
      <c r="AR220"/>
      <c r="BX220"/>
    </row>
    <row r="221" spans="24:76" ht="14.55" customHeight="1">
      <c r="X221" s="21"/>
      <c r="Y221" s="16"/>
      <c r="AR221"/>
      <c r="BX221"/>
    </row>
    <row r="222" spans="24:76" ht="14.55" customHeight="1">
      <c r="X222" s="21"/>
      <c r="Y222" s="16"/>
      <c r="AR222"/>
      <c r="BX222"/>
    </row>
    <row r="223" spans="24:76" ht="14.55" customHeight="1">
      <c r="X223" s="21"/>
      <c r="Y223" s="16"/>
      <c r="AR223"/>
      <c r="BX223"/>
    </row>
    <row r="224" spans="24:76" ht="14.55" customHeight="1">
      <c r="X224" s="21"/>
      <c r="Y224" s="16"/>
      <c r="AR224"/>
      <c r="BX224"/>
    </row>
    <row r="225" spans="24:76" ht="14.55" customHeight="1">
      <c r="X225" s="21"/>
      <c r="Y225" s="16"/>
      <c r="AR225"/>
      <c r="BX225"/>
    </row>
    <row r="226" spans="24:76" ht="14.55" customHeight="1">
      <c r="X226" s="21"/>
      <c r="Y226" s="16"/>
      <c r="AR226"/>
      <c r="BX226"/>
    </row>
    <row r="227" spans="24:76" ht="19.2" customHeight="1">
      <c r="X227" s="21"/>
      <c r="Y227" s="16"/>
      <c r="AR227"/>
      <c r="BX227"/>
    </row>
    <row r="228" spans="24:76" ht="14.55" customHeight="1">
      <c r="X228" s="21"/>
      <c r="Y228" s="16"/>
      <c r="AR228"/>
      <c r="BX228"/>
    </row>
    <row r="229" spans="24:76" ht="14.55" customHeight="1">
      <c r="X229" s="21"/>
      <c r="Y229" s="16"/>
      <c r="AR229"/>
      <c r="BX229"/>
    </row>
    <row r="230" spans="24:76" ht="14.55" customHeight="1">
      <c r="X230" s="21"/>
      <c r="Y230" s="16"/>
      <c r="AR230"/>
      <c r="BX230"/>
    </row>
    <row r="231" spans="24:76" ht="14.55" customHeight="1">
      <c r="X231" s="21"/>
      <c r="Y231" s="16"/>
      <c r="AR231"/>
      <c r="BX231"/>
    </row>
    <row r="232" spans="24:76" ht="14.55" customHeight="1">
      <c r="X232" s="21"/>
      <c r="Y232" s="16"/>
      <c r="AR232"/>
      <c r="BX232"/>
    </row>
    <row r="233" spans="24:76" ht="14.55" customHeight="1">
      <c r="X233" s="21"/>
      <c r="Y233" s="16"/>
      <c r="AR233"/>
      <c r="BX233"/>
    </row>
    <row r="234" spans="24:76" ht="14.55" customHeight="1">
      <c r="X234" s="21"/>
      <c r="Y234" s="16"/>
      <c r="AR234"/>
      <c r="BX234"/>
    </row>
    <row r="235" spans="24:76" ht="14.55" customHeight="1">
      <c r="X235" s="21"/>
      <c r="Y235" s="16"/>
      <c r="AR235"/>
      <c r="BX235"/>
    </row>
    <row r="236" spans="24:76" ht="14.55" customHeight="1">
      <c r="X236" s="21"/>
      <c r="Y236" s="16"/>
      <c r="AR236"/>
      <c r="BX236"/>
    </row>
    <row r="237" spans="24:76" ht="14.55" customHeight="1">
      <c r="X237" s="21"/>
      <c r="Y237" s="16"/>
      <c r="AR237"/>
      <c r="BX237"/>
    </row>
    <row r="238" spans="24:76" ht="14.55" customHeight="1">
      <c r="X238" s="21"/>
      <c r="Y238" s="16"/>
      <c r="AR238"/>
      <c r="BX238"/>
    </row>
    <row r="239" spans="24:76" ht="14.55" customHeight="1">
      <c r="X239" s="21"/>
      <c r="Y239" s="16"/>
      <c r="AR239"/>
      <c r="BX239"/>
    </row>
    <row r="240" spans="24:76" ht="14.55" customHeight="1">
      <c r="X240" s="21"/>
      <c r="Y240" s="16"/>
      <c r="AR240"/>
      <c r="BX240"/>
    </row>
    <row r="241" spans="24:76" ht="14.55" customHeight="1">
      <c r="X241" s="21"/>
      <c r="Y241" s="16"/>
      <c r="AR241"/>
      <c r="BX241"/>
    </row>
    <row r="242" spans="24:76" ht="14.55" customHeight="1">
      <c r="X242" s="21"/>
      <c r="Y242" s="16"/>
      <c r="AR242"/>
      <c r="BX242"/>
    </row>
    <row r="243" spans="24:76" ht="14.55" customHeight="1">
      <c r="X243" s="21"/>
      <c r="Y243" s="16"/>
      <c r="AR243"/>
      <c r="BX243"/>
    </row>
    <row r="244" spans="24:76" ht="14.55" customHeight="1">
      <c r="X244" s="21"/>
      <c r="Y244" s="16"/>
      <c r="AR244"/>
      <c r="BX244"/>
    </row>
    <row r="245" spans="24:76" ht="14.55" customHeight="1">
      <c r="X245" s="21"/>
      <c r="Y245" s="16"/>
      <c r="AR245"/>
      <c r="BX245"/>
    </row>
    <row r="246" spans="24:76" ht="14.55" customHeight="1">
      <c r="X246" s="21"/>
      <c r="Y246" s="16"/>
      <c r="AR246"/>
      <c r="BX246"/>
    </row>
    <row r="247" spans="24:76" ht="14.55" customHeight="1">
      <c r="X247" s="21"/>
      <c r="Y247" s="16"/>
      <c r="AR247"/>
      <c r="BX247"/>
    </row>
    <row r="248" spans="24:76" ht="14.55" customHeight="1">
      <c r="X248" s="21"/>
      <c r="Y248" s="16"/>
      <c r="AR248"/>
      <c r="BX248"/>
    </row>
    <row r="249" spans="24:76" ht="14.55" customHeight="1">
      <c r="X249" s="21"/>
      <c r="Y249" s="16"/>
      <c r="AR249"/>
      <c r="BX249"/>
    </row>
    <row r="250" spans="24:76" ht="14.55" customHeight="1">
      <c r="X250" s="21"/>
      <c r="Y250" s="16"/>
      <c r="AR250"/>
      <c r="BX250"/>
    </row>
    <row r="251" spans="24:76" ht="14.55" customHeight="1">
      <c r="X251" s="21"/>
      <c r="Y251" s="16"/>
      <c r="AR251"/>
      <c r="BX251"/>
    </row>
    <row r="252" spans="24:76" ht="19.2" customHeight="1">
      <c r="X252" s="21"/>
      <c r="Y252" s="16"/>
      <c r="AR252"/>
      <c r="BX252"/>
    </row>
    <row r="253" spans="24:76" ht="14.55" customHeight="1">
      <c r="X253" s="21"/>
      <c r="Y253" s="16"/>
      <c r="AR253"/>
      <c r="BX253"/>
    </row>
    <row r="254" spans="24:76" ht="14.55" customHeight="1">
      <c r="X254" s="21"/>
      <c r="Y254" s="16"/>
      <c r="AR254"/>
      <c r="BX254"/>
    </row>
    <row r="255" spans="24:76" ht="14.55" customHeight="1">
      <c r="X255" s="21"/>
      <c r="Y255" s="16"/>
      <c r="AR255"/>
      <c r="BX255"/>
    </row>
    <row r="256" spans="24:76" ht="14.55" customHeight="1">
      <c r="X256" s="21"/>
      <c r="Y256" s="16"/>
      <c r="AR256"/>
      <c r="BX256"/>
    </row>
    <row r="257" spans="24:76" ht="14.55" customHeight="1">
      <c r="X257" s="21"/>
      <c r="Y257" s="16"/>
      <c r="AR257"/>
      <c r="BX257"/>
    </row>
    <row r="258" spans="24:76" ht="14.55" customHeight="1">
      <c r="X258" s="21"/>
      <c r="Y258" s="16"/>
      <c r="AR258"/>
      <c r="BX258"/>
    </row>
    <row r="259" spans="24:76" ht="14.55" customHeight="1">
      <c r="X259" s="21"/>
      <c r="Y259" s="16"/>
      <c r="AR259"/>
      <c r="BX259"/>
    </row>
    <row r="260" spans="24:76" ht="14.55" customHeight="1">
      <c r="X260" s="21"/>
      <c r="Y260" s="16"/>
      <c r="AR260"/>
      <c r="BX260"/>
    </row>
    <row r="261" spans="24:76" ht="14.55" customHeight="1">
      <c r="X261" s="21"/>
      <c r="Y261" s="16"/>
      <c r="AR261"/>
      <c r="BX261"/>
    </row>
    <row r="262" spans="24:76" ht="14.55" customHeight="1">
      <c r="X262" s="21"/>
      <c r="Y262" s="16"/>
      <c r="AR262"/>
      <c r="BX262"/>
    </row>
    <row r="263" spans="24:76" ht="14.55" customHeight="1">
      <c r="X263" s="21"/>
      <c r="Y263" s="16"/>
      <c r="AR263"/>
      <c r="BX263"/>
    </row>
    <row r="264" spans="24:76" ht="14.55" customHeight="1">
      <c r="X264" s="21"/>
      <c r="Y264" s="16"/>
      <c r="AR264"/>
      <c r="BX264"/>
    </row>
    <row r="265" spans="24:76" ht="14.55" customHeight="1">
      <c r="X265" s="21"/>
      <c r="Y265" s="16"/>
      <c r="AR265"/>
      <c r="BX265"/>
    </row>
    <row r="266" spans="24:76" ht="14.55" customHeight="1">
      <c r="X266" s="21"/>
      <c r="Y266" s="16"/>
      <c r="AR266"/>
      <c r="BX266"/>
    </row>
    <row r="267" spans="24:76" ht="14.55" customHeight="1">
      <c r="X267" s="21"/>
      <c r="Y267" s="16"/>
      <c r="AR267"/>
      <c r="BX267"/>
    </row>
    <row r="268" spans="24:76" ht="14.55" customHeight="1">
      <c r="X268" s="21"/>
      <c r="Y268" s="16"/>
      <c r="AR268"/>
      <c r="BX268"/>
    </row>
    <row r="269" spans="24:76" ht="14.55" customHeight="1">
      <c r="X269" s="21"/>
      <c r="Y269" s="16"/>
      <c r="AR269"/>
      <c r="BX269"/>
    </row>
    <row r="270" spans="24:76" ht="14.55" customHeight="1">
      <c r="X270" s="21"/>
      <c r="Y270" s="16"/>
      <c r="AR270"/>
      <c r="BX270"/>
    </row>
    <row r="271" spans="24:76" ht="14.55" customHeight="1">
      <c r="X271" s="21"/>
      <c r="Y271" s="16"/>
      <c r="AR271"/>
      <c r="BX271"/>
    </row>
    <row r="272" spans="24:76" ht="14.55" customHeight="1">
      <c r="X272" s="21"/>
      <c r="Y272" s="16"/>
      <c r="AR272"/>
      <c r="BX272"/>
    </row>
    <row r="273" spans="24:76" ht="14.55" customHeight="1">
      <c r="X273" s="21"/>
      <c r="Y273" s="16"/>
      <c r="AR273"/>
      <c r="BX273"/>
    </row>
    <row r="274" spans="24:76" ht="14.55" customHeight="1">
      <c r="X274" s="21"/>
      <c r="Y274" s="16"/>
      <c r="AR274"/>
      <c r="BX274"/>
    </row>
    <row r="275" spans="24:76" ht="14.55" customHeight="1">
      <c r="X275" s="21"/>
      <c r="Y275" s="16"/>
      <c r="AR275"/>
      <c r="BX275"/>
    </row>
    <row r="276" spans="24:76" ht="14.55" customHeight="1">
      <c r="X276" s="21"/>
      <c r="Y276" s="16"/>
      <c r="AR276"/>
      <c r="BX276"/>
    </row>
    <row r="277" spans="24:76" ht="19.2" customHeight="1">
      <c r="X277" s="21"/>
      <c r="Y277" s="16"/>
      <c r="AR277"/>
      <c r="BX277"/>
    </row>
    <row r="278" spans="24:76" ht="14.55" customHeight="1">
      <c r="X278" s="21"/>
      <c r="Y278" s="16"/>
      <c r="AR278"/>
      <c r="BX278"/>
    </row>
    <row r="279" spans="24:76" ht="14.55" customHeight="1">
      <c r="X279" s="21"/>
      <c r="Y279" s="16"/>
      <c r="AR279"/>
      <c r="BX279"/>
    </row>
    <row r="280" spans="24:76" ht="14.55" customHeight="1">
      <c r="X280" s="21"/>
      <c r="Y280" s="16"/>
      <c r="AR280"/>
      <c r="BX280"/>
    </row>
    <row r="281" spans="24:76" ht="14.55" customHeight="1">
      <c r="X281" s="21"/>
      <c r="Y281" s="16"/>
      <c r="AR281"/>
      <c r="BX281"/>
    </row>
    <row r="282" spans="24:76" ht="14.55" customHeight="1">
      <c r="X282" s="21"/>
      <c r="Y282" s="16"/>
      <c r="AR282"/>
      <c r="BX282"/>
    </row>
    <row r="283" spans="24:76" ht="14.55" customHeight="1">
      <c r="X283" s="21"/>
      <c r="Y283" s="16"/>
      <c r="AR283"/>
      <c r="BX283"/>
    </row>
    <row r="284" spans="24:76" ht="14.55" customHeight="1">
      <c r="X284" s="21"/>
      <c r="Y284" s="16"/>
      <c r="AR284"/>
      <c r="BX284"/>
    </row>
    <row r="285" spans="24:76" ht="14.55" customHeight="1">
      <c r="X285" s="21"/>
      <c r="Y285" s="16"/>
      <c r="AR285"/>
      <c r="BX285"/>
    </row>
    <row r="286" spans="24:76" ht="14.55" customHeight="1">
      <c r="X286" s="21"/>
      <c r="Y286" s="16"/>
      <c r="AR286"/>
      <c r="BX286"/>
    </row>
    <row r="287" spans="24:76" ht="14.55" customHeight="1">
      <c r="X287" s="21"/>
      <c r="Y287" s="16"/>
      <c r="AR287"/>
      <c r="BX287"/>
    </row>
    <row r="288" spans="24:76" ht="14.55" customHeight="1">
      <c r="X288" s="21"/>
      <c r="Y288" s="16"/>
      <c r="AR288"/>
      <c r="BX288"/>
    </row>
    <row r="289" spans="24:76" ht="14.55" customHeight="1">
      <c r="X289" s="21"/>
      <c r="Y289" s="16"/>
      <c r="AR289"/>
      <c r="BX289"/>
    </row>
    <row r="290" spans="24:76" ht="14.55" customHeight="1">
      <c r="X290" s="21"/>
      <c r="Y290" s="16"/>
      <c r="AR290"/>
      <c r="BX290"/>
    </row>
    <row r="291" spans="24:76" ht="14.55" customHeight="1">
      <c r="X291" s="21"/>
      <c r="Y291" s="16"/>
      <c r="AR291"/>
      <c r="BX291"/>
    </row>
    <row r="292" spans="24:76" ht="14.55" customHeight="1">
      <c r="X292" s="21"/>
      <c r="Y292" s="16"/>
      <c r="AR292"/>
      <c r="BX292"/>
    </row>
    <row r="293" spans="24:76" ht="14.55" customHeight="1">
      <c r="X293" s="21"/>
      <c r="Y293" s="16"/>
      <c r="AR293"/>
      <c r="BX293"/>
    </row>
    <row r="294" spans="24:76" ht="14.55" customHeight="1">
      <c r="X294" s="21"/>
      <c r="Y294" s="16"/>
      <c r="AR294"/>
      <c r="BX294"/>
    </row>
    <row r="295" spans="24:76" ht="14.55" customHeight="1">
      <c r="X295" s="21"/>
      <c r="Y295" s="16"/>
      <c r="AR295"/>
      <c r="BX295"/>
    </row>
    <row r="296" spans="24:76" ht="14.55" customHeight="1">
      <c r="X296" s="21"/>
      <c r="Y296" s="16"/>
      <c r="AR296"/>
      <c r="BX296"/>
    </row>
    <row r="297" spans="24:76" ht="14.55" customHeight="1">
      <c r="X297" s="21"/>
      <c r="Y297" s="16"/>
      <c r="AR297"/>
      <c r="BX297"/>
    </row>
    <row r="298" spans="24:76" ht="14.55" customHeight="1">
      <c r="X298" s="21"/>
      <c r="Y298" s="16"/>
      <c r="AR298"/>
      <c r="BX298"/>
    </row>
    <row r="299" spans="24:76" ht="14.55" customHeight="1">
      <c r="X299" s="21"/>
      <c r="Y299" s="16"/>
      <c r="AR299"/>
      <c r="BX299"/>
    </row>
    <row r="300" spans="24:76" ht="14.55" customHeight="1">
      <c r="X300" s="21"/>
      <c r="Y300" s="16"/>
      <c r="AR300"/>
      <c r="BX300"/>
    </row>
    <row r="301" spans="24:76" ht="14.55" customHeight="1">
      <c r="X301" s="21"/>
      <c r="Y301" s="16"/>
      <c r="AR301"/>
      <c r="BX301"/>
    </row>
    <row r="302" spans="24:76" ht="19.2" customHeight="1">
      <c r="X302" s="21"/>
      <c r="Y302" s="16"/>
      <c r="AR302"/>
      <c r="BX302"/>
    </row>
    <row r="303" spans="24:76" ht="14.55" customHeight="1">
      <c r="X303" s="21"/>
      <c r="Y303" s="16"/>
      <c r="AR303"/>
      <c r="BX303"/>
    </row>
    <row r="304" spans="24:76" ht="14.55" customHeight="1">
      <c r="X304" s="21"/>
      <c r="Y304" s="16"/>
      <c r="AR304"/>
      <c r="BX304"/>
    </row>
    <row r="305" spans="24:76" ht="14.55" customHeight="1">
      <c r="X305" s="21"/>
      <c r="Y305" s="16"/>
      <c r="AR305"/>
      <c r="BX305"/>
    </row>
    <row r="306" spans="24:76" ht="14.55" customHeight="1">
      <c r="X306" s="21"/>
      <c r="Y306" s="16"/>
      <c r="AR306"/>
      <c r="BX306"/>
    </row>
    <row r="307" spans="24:76" ht="14.55" customHeight="1">
      <c r="X307" s="21"/>
      <c r="Y307" s="16"/>
      <c r="AR307"/>
      <c r="BX307"/>
    </row>
    <row r="308" spans="24:76" ht="14.55" customHeight="1">
      <c r="X308" s="21"/>
      <c r="Y308" s="16"/>
      <c r="AR308"/>
      <c r="BX308"/>
    </row>
    <row r="309" spans="24:76" ht="14.55" customHeight="1">
      <c r="X309" s="21"/>
      <c r="Y309" s="16"/>
      <c r="AR309"/>
      <c r="BX309"/>
    </row>
    <row r="310" spans="24:76" ht="14.55" customHeight="1">
      <c r="X310" s="21"/>
      <c r="Y310" s="16"/>
      <c r="AR310"/>
      <c r="BX310"/>
    </row>
    <row r="311" spans="24:76" ht="14.55" customHeight="1">
      <c r="X311" s="21"/>
      <c r="Y311" s="16"/>
      <c r="AR311"/>
      <c r="BX311"/>
    </row>
    <row r="312" spans="24:76" ht="14.55" customHeight="1">
      <c r="X312" s="21"/>
      <c r="Y312" s="16"/>
      <c r="AR312"/>
      <c r="BX312"/>
    </row>
    <row r="313" spans="24:76" ht="14.55" customHeight="1">
      <c r="X313" s="21"/>
      <c r="Y313" s="16"/>
      <c r="AR313"/>
      <c r="BX313"/>
    </row>
    <row r="314" spans="24:76" ht="14.55" customHeight="1">
      <c r="X314" s="21"/>
      <c r="Y314" s="16"/>
      <c r="AR314"/>
      <c r="BX314"/>
    </row>
    <row r="315" spans="24:76" ht="14.55" customHeight="1">
      <c r="X315" s="21"/>
      <c r="Y315" s="16"/>
      <c r="AR315"/>
      <c r="BX315"/>
    </row>
    <row r="316" spans="24:76" ht="14.55" customHeight="1">
      <c r="X316" s="21"/>
      <c r="Y316" s="16"/>
      <c r="AR316"/>
      <c r="BX316"/>
    </row>
    <row r="317" spans="24:76" ht="14.55" customHeight="1">
      <c r="X317" s="21"/>
      <c r="Y317" s="16"/>
      <c r="AR317"/>
      <c r="BX317"/>
    </row>
    <row r="318" spans="24:76" ht="14.55" customHeight="1">
      <c r="X318" s="21"/>
      <c r="Y318" s="16"/>
      <c r="AR318"/>
      <c r="BX318"/>
    </row>
    <row r="319" spans="24:76" ht="14.55" customHeight="1">
      <c r="X319" s="21"/>
      <c r="Y319" s="16"/>
      <c r="AR319"/>
      <c r="BX319"/>
    </row>
    <row r="320" spans="24:76" ht="14.55" customHeight="1">
      <c r="X320" s="21"/>
      <c r="Y320" s="16"/>
      <c r="AR320"/>
      <c r="BX320"/>
    </row>
    <row r="321" spans="24:76" ht="14.55" customHeight="1">
      <c r="X321" s="21"/>
      <c r="Y321" s="16"/>
      <c r="AR321"/>
      <c r="BX321"/>
    </row>
    <row r="322" spans="24:76" ht="14.55" customHeight="1">
      <c r="X322" s="21"/>
      <c r="Y322" s="16"/>
      <c r="AR322"/>
      <c r="BX322"/>
    </row>
    <row r="323" spans="24:76" ht="14.55" customHeight="1">
      <c r="X323" s="21"/>
      <c r="Y323" s="16"/>
      <c r="AR323"/>
      <c r="BX323"/>
    </row>
    <row r="324" spans="24:76" ht="14.55" customHeight="1">
      <c r="X324" s="21"/>
      <c r="Y324" s="16"/>
      <c r="AR324"/>
      <c r="BX324"/>
    </row>
    <row r="325" spans="24:76" ht="14.55" customHeight="1">
      <c r="X325" s="21"/>
      <c r="Y325" s="16"/>
      <c r="AR325"/>
      <c r="BX325"/>
    </row>
    <row r="326" spans="24:76" ht="14.55" customHeight="1">
      <c r="X326" s="21"/>
      <c r="Y326" s="16"/>
      <c r="AR326"/>
      <c r="BX326"/>
    </row>
    <row r="327" spans="24:76" ht="14.55" customHeight="1">
      <c r="X327" s="21"/>
      <c r="Y327" s="16"/>
      <c r="AR327"/>
      <c r="BX327"/>
    </row>
    <row r="328" spans="24:76" ht="14.55" customHeight="1">
      <c r="X328" s="21"/>
      <c r="Y328" s="16"/>
      <c r="AR328"/>
      <c r="BX328"/>
    </row>
    <row r="329" spans="24:76" ht="14.55" customHeight="1">
      <c r="X329" s="21"/>
      <c r="Y329" s="16"/>
      <c r="AR329"/>
      <c r="BX329"/>
    </row>
    <row r="330" spans="24:76">
      <c r="X330" s="21"/>
      <c r="Y330" s="16"/>
      <c r="AR330"/>
      <c r="BX330"/>
    </row>
    <row r="331" spans="24:76">
      <c r="X331" s="21"/>
      <c r="Y331" s="16"/>
      <c r="AR331"/>
      <c r="BX331"/>
    </row>
    <row r="332" spans="24:76">
      <c r="X332" s="21"/>
      <c r="Y332" s="16"/>
      <c r="AR332"/>
      <c r="BX332"/>
    </row>
    <row r="333" spans="24:76">
      <c r="X333" s="21"/>
      <c r="Y333" s="16"/>
      <c r="AR333"/>
      <c r="BX333"/>
    </row>
    <row r="334" spans="24:76">
      <c r="X334" s="21"/>
      <c r="Y334" s="16"/>
      <c r="AR334"/>
      <c r="BX334"/>
    </row>
    <row r="335" spans="24:76">
      <c r="X335" s="21"/>
      <c r="Y335" s="16"/>
      <c r="AR335"/>
      <c r="BX335"/>
    </row>
    <row r="336" spans="24:76">
      <c r="X336" s="21"/>
      <c r="Y336" s="16"/>
      <c r="AR336"/>
      <c r="BX336"/>
    </row>
    <row r="337" spans="24:76">
      <c r="X337" s="21"/>
      <c r="Y337" s="16"/>
      <c r="AR337"/>
      <c r="BX337"/>
    </row>
    <row r="338" spans="24:76">
      <c r="X338" s="21"/>
      <c r="Y338" s="16"/>
      <c r="AR338"/>
      <c r="BX338"/>
    </row>
    <row r="339" spans="24:76">
      <c r="X339" s="21"/>
      <c r="Y339" s="16"/>
      <c r="AR339"/>
      <c r="BX339"/>
    </row>
    <row r="340" spans="24:76">
      <c r="X340" s="21"/>
      <c r="Y340" s="16"/>
      <c r="AR340"/>
      <c r="BX340"/>
    </row>
    <row r="341" spans="24:76">
      <c r="X341" s="21"/>
      <c r="Y341" s="16"/>
      <c r="AR341"/>
      <c r="BX341"/>
    </row>
    <row r="342" spans="24:76">
      <c r="X342" s="21"/>
      <c r="Y342" s="16"/>
      <c r="AR342"/>
      <c r="BX342"/>
    </row>
    <row r="343" spans="24:76">
      <c r="X343" s="21"/>
      <c r="Y343" s="16"/>
      <c r="AR343"/>
      <c r="BX343"/>
    </row>
    <row r="344" spans="24:76">
      <c r="X344" s="21"/>
      <c r="Y344" s="16"/>
      <c r="AR344"/>
      <c r="BX344"/>
    </row>
    <row r="345" spans="24:76">
      <c r="X345" s="21"/>
      <c r="Y345" s="16"/>
      <c r="AR345"/>
      <c r="BX345"/>
    </row>
    <row r="346" spans="24:76">
      <c r="X346" s="21"/>
      <c r="Y346" s="16"/>
      <c r="AR346"/>
      <c r="BX346"/>
    </row>
    <row r="347" spans="24:76">
      <c r="X347" s="21"/>
      <c r="Y347" s="16"/>
      <c r="AR347"/>
      <c r="BX347"/>
    </row>
    <row r="348" spans="24:76">
      <c r="X348" s="21"/>
      <c r="Y348" s="16"/>
      <c r="AR348"/>
      <c r="BX348"/>
    </row>
    <row r="349" spans="24:76">
      <c r="X349" s="21"/>
      <c r="Y349" s="16"/>
      <c r="AR349"/>
      <c r="BX349"/>
    </row>
    <row r="350" spans="24:76">
      <c r="X350" s="21"/>
      <c r="Y350" s="16"/>
      <c r="AR350"/>
      <c r="BX350"/>
    </row>
    <row r="351" spans="24:76">
      <c r="X351" s="21"/>
      <c r="Y351" s="16"/>
      <c r="AR351"/>
      <c r="BX351"/>
    </row>
    <row r="352" spans="24:76">
      <c r="X352" s="21"/>
      <c r="Y352" s="16"/>
      <c r="AR352"/>
      <c r="BX352"/>
    </row>
    <row r="353" spans="24:76">
      <c r="X353" s="21"/>
      <c r="Y353" s="16"/>
      <c r="AR353"/>
      <c r="BX353"/>
    </row>
    <row r="354" spans="24:76">
      <c r="X354" s="21"/>
      <c r="Y354" s="16"/>
      <c r="AR354"/>
      <c r="BX354"/>
    </row>
    <row r="355" spans="24:76">
      <c r="X355" s="21"/>
      <c r="Y355" s="16"/>
      <c r="AR355"/>
      <c r="BX355"/>
    </row>
    <row r="356" spans="24:76">
      <c r="X356" s="21"/>
      <c r="Y356" s="16"/>
      <c r="AR356"/>
      <c r="BX356"/>
    </row>
    <row r="357" spans="24:76">
      <c r="X357" s="21"/>
      <c r="Y357" s="16"/>
      <c r="AR357"/>
      <c r="BX357"/>
    </row>
    <row r="358" spans="24:76">
      <c r="X358" s="21"/>
      <c r="Y358" s="16"/>
      <c r="AR358"/>
      <c r="BX358"/>
    </row>
    <row r="359" spans="24:76">
      <c r="X359" s="21"/>
      <c r="Y359" s="16"/>
      <c r="AR359"/>
      <c r="BX359"/>
    </row>
    <row r="360" spans="24:76">
      <c r="X360" s="21"/>
      <c r="Y360" s="16"/>
      <c r="AR360"/>
      <c r="BX360"/>
    </row>
    <row r="361" spans="24:76">
      <c r="X361" s="21"/>
      <c r="Y361" s="16"/>
      <c r="AR361"/>
      <c r="BX361"/>
    </row>
    <row r="362" spans="24:76">
      <c r="X362" s="21"/>
      <c r="Y362" s="16"/>
      <c r="AR362"/>
      <c r="BX362"/>
    </row>
    <row r="363" spans="24:76">
      <c r="X363" s="21"/>
      <c r="Y363" s="16"/>
      <c r="AR363"/>
      <c r="BX363"/>
    </row>
    <row r="364" spans="24:76">
      <c r="X364" s="21"/>
      <c r="Y364" s="16"/>
      <c r="AR364"/>
      <c r="BX364"/>
    </row>
    <row r="365" spans="24:76">
      <c r="X365" s="21"/>
      <c r="Y365" s="16"/>
      <c r="AR365"/>
      <c r="BX365"/>
    </row>
    <row r="366" spans="24:76">
      <c r="X366" s="21"/>
      <c r="Y366" s="16"/>
      <c r="AR366"/>
      <c r="BX366"/>
    </row>
    <row r="367" spans="24:76">
      <c r="X367" s="21"/>
      <c r="Y367" s="16"/>
      <c r="AR367"/>
      <c r="BX367"/>
    </row>
    <row r="368" spans="24:76">
      <c r="X368" s="21"/>
      <c r="Y368" s="16"/>
      <c r="AR368"/>
      <c r="BX368"/>
    </row>
    <row r="369" spans="24:76">
      <c r="X369" s="21"/>
      <c r="Y369" s="16"/>
      <c r="AR369"/>
      <c r="BX369"/>
    </row>
    <row r="370" spans="24:76">
      <c r="X370" s="21"/>
      <c r="Y370" s="16"/>
      <c r="AR370"/>
      <c r="BX370"/>
    </row>
    <row r="371" spans="24:76">
      <c r="X371" s="21"/>
      <c r="Y371" s="16"/>
      <c r="AR371"/>
      <c r="BX371"/>
    </row>
    <row r="372" spans="24:76">
      <c r="X372" s="21"/>
      <c r="Y372" s="16"/>
      <c r="AR372"/>
      <c r="BX372"/>
    </row>
    <row r="373" spans="24:76">
      <c r="X373" s="21"/>
      <c r="Y373" s="16"/>
      <c r="BX373"/>
    </row>
    <row r="374" spans="24:76">
      <c r="X374" s="21"/>
      <c r="Y374" s="16"/>
      <c r="BX374"/>
    </row>
    <row r="375" spans="24:76">
      <c r="X375" s="21"/>
      <c r="Y375" s="16"/>
      <c r="BX375"/>
    </row>
    <row r="376" spans="24:76">
      <c r="X376" s="21"/>
      <c r="BX376"/>
    </row>
    <row r="377" spans="24:76">
      <c r="X377" s="21"/>
      <c r="BX377"/>
    </row>
    <row r="378" spans="24:76">
      <c r="X378" s="21"/>
      <c r="BX378"/>
    </row>
    <row r="379" spans="24:76">
      <c r="X379" s="21"/>
      <c r="BX379"/>
    </row>
    <row r="380" spans="24:76">
      <c r="X380" s="21"/>
      <c r="BX380"/>
    </row>
    <row r="381" spans="24:76">
      <c r="X381" s="21"/>
      <c r="BX381"/>
    </row>
    <row r="382" spans="24:76">
      <c r="X382" s="21"/>
      <c r="BX382"/>
    </row>
    <row r="383" spans="24:76">
      <c r="X383" s="21"/>
      <c r="BX383"/>
    </row>
    <row r="384" spans="24:76">
      <c r="X384" s="21"/>
      <c r="BX384"/>
    </row>
    <row r="385" spans="24:76">
      <c r="X385" s="21"/>
      <c r="BX385"/>
    </row>
    <row r="386" spans="24:76">
      <c r="X386" s="21"/>
      <c r="BX386"/>
    </row>
    <row r="387" spans="24:76">
      <c r="X387" s="21"/>
      <c r="BX387"/>
    </row>
    <row r="388" spans="24:76">
      <c r="X388" s="21"/>
      <c r="BX388"/>
    </row>
    <row r="389" spans="24:76">
      <c r="X389" s="21"/>
      <c r="BX389"/>
    </row>
    <row r="390" spans="24:76">
      <c r="X390" s="21"/>
      <c r="BX390"/>
    </row>
    <row r="391" spans="24:76">
      <c r="X391" s="21"/>
      <c r="BX391"/>
    </row>
    <row r="392" spans="24:76">
      <c r="X392" s="21"/>
      <c r="BX392"/>
    </row>
    <row r="393" spans="24:76">
      <c r="X393" s="21"/>
      <c r="BX393"/>
    </row>
    <row r="394" spans="24:76">
      <c r="X394" s="21"/>
      <c r="BX394"/>
    </row>
    <row r="395" spans="24:76">
      <c r="X395" s="21"/>
      <c r="BX395"/>
    </row>
    <row r="396" spans="24:76">
      <c r="X396" s="21"/>
      <c r="BX396"/>
    </row>
    <row r="397" spans="24:76">
      <c r="X397" s="21"/>
      <c r="BX397"/>
    </row>
    <row r="398" spans="24:76">
      <c r="X398" s="21"/>
      <c r="BX398"/>
    </row>
    <row r="399" spans="24:76">
      <c r="X399" s="21"/>
      <c r="BX399"/>
    </row>
    <row r="400" spans="24:76">
      <c r="X400" s="21"/>
      <c r="BX400"/>
    </row>
    <row r="401" spans="24:76">
      <c r="X401" s="21"/>
      <c r="BX401"/>
    </row>
    <row r="402" spans="24:76">
      <c r="X402" s="21"/>
      <c r="BX402"/>
    </row>
    <row r="403" spans="24:76">
      <c r="X403" s="21"/>
      <c r="BX403"/>
    </row>
    <row r="404" spans="24:76">
      <c r="X404" s="21"/>
      <c r="BX404"/>
    </row>
    <row r="405" spans="24:76">
      <c r="X405" s="21"/>
      <c r="BX405"/>
    </row>
    <row r="406" spans="24:76">
      <c r="X406" s="21"/>
      <c r="BX406"/>
    </row>
    <row r="407" spans="24:76">
      <c r="X407" s="21"/>
      <c r="BX407"/>
    </row>
    <row r="408" spans="24:76">
      <c r="X408" s="21"/>
      <c r="BX408"/>
    </row>
    <row r="409" spans="24:76">
      <c r="X409" s="21"/>
      <c r="BX409"/>
    </row>
    <row r="410" spans="24:76">
      <c r="X410" s="21"/>
      <c r="BX410"/>
    </row>
    <row r="411" spans="24:76">
      <c r="X411" s="21"/>
      <c r="BX411"/>
    </row>
    <row r="412" spans="24:76">
      <c r="X412" s="21"/>
      <c r="BX412"/>
    </row>
    <row r="413" spans="24:76">
      <c r="X413" s="21"/>
      <c r="BX413"/>
    </row>
    <row r="414" spans="24:76">
      <c r="X414" s="21"/>
      <c r="BX414"/>
    </row>
    <row r="415" spans="24:76">
      <c r="X415" s="21"/>
      <c r="BX415"/>
    </row>
    <row r="416" spans="24:76">
      <c r="X416" s="21"/>
      <c r="BX416"/>
    </row>
    <row r="417" spans="24:76">
      <c r="X417" s="21"/>
      <c r="BX417"/>
    </row>
    <row r="418" spans="24:76">
      <c r="X418" s="21"/>
      <c r="BX418"/>
    </row>
    <row r="419" spans="24:76">
      <c r="X419" s="21"/>
      <c r="BX419"/>
    </row>
    <row r="420" spans="24:76">
      <c r="X420" s="21"/>
      <c r="BX420"/>
    </row>
    <row r="421" spans="24:76">
      <c r="X421" s="21"/>
      <c r="BX421"/>
    </row>
    <row r="422" spans="24:76">
      <c r="X422" s="21"/>
      <c r="BX422"/>
    </row>
    <row r="423" spans="24:76">
      <c r="X423" s="21"/>
      <c r="BX423"/>
    </row>
    <row r="424" spans="24:76">
      <c r="X424" s="21"/>
      <c r="BX424"/>
    </row>
    <row r="425" spans="24:76">
      <c r="X425" s="21"/>
      <c r="BX425"/>
    </row>
    <row r="426" spans="24:76">
      <c r="X426" s="21"/>
      <c r="BX426"/>
    </row>
    <row r="427" spans="24:76">
      <c r="X427" s="21"/>
      <c r="BX427"/>
    </row>
    <row r="428" spans="24:76">
      <c r="X428" s="21"/>
      <c r="BX428"/>
    </row>
    <row r="429" spans="24:76">
      <c r="X429" s="21"/>
      <c r="BX429"/>
    </row>
    <row r="430" spans="24:76">
      <c r="X430" s="21"/>
      <c r="BX430"/>
    </row>
    <row r="431" spans="24:76">
      <c r="X431" s="21"/>
      <c r="BX431"/>
    </row>
    <row r="432" spans="24:76">
      <c r="X432" s="21"/>
      <c r="BX432"/>
    </row>
    <row r="433" spans="24:76">
      <c r="X433" s="21"/>
      <c r="BX433"/>
    </row>
    <row r="434" spans="24:76">
      <c r="X434" s="21"/>
      <c r="BX434"/>
    </row>
    <row r="435" spans="24:76">
      <c r="X435" s="21"/>
      <c r="BX435"/>
    </row>
    <row r="436" spans="24:76">
      <c r="X436" s="21"/>
      <c r="BX436"/>
    </row>
    <row r="437" spans="24:76">
      <c r="X437" s="21"/>
      <c r="BX437"/>
    </row>
    <row r="438" spans="24:76">
      <c r="X438" s="21"/>
      <c r="BX438"/>
    </row>
    <row r="439" spans="24:76">
      <c r="X439" s="21"/>
      <c r="BX439"/>
    </row>
    <row r="440" spans="24:76">
      <c r="X440" s="21"/>
      <c r="BX440"/>
    </row>
    <row r="441" spans="24:76">
      <c r="X441" s="21"/>
      <c r="BX441"/>
    </row>
    <row r="442" spans="24:76">
      <c r="X442" s="21"/>
      <c r="BX442"/>
    </row>
    <row r="443" spans="24:76">
      <c r="X443" s="21"/>
      <c r="BX443"/>
    </row>
    <row r="444" spans="24:76">
      <c r="X444" s="21"/>
      <c r="BX444"/>
    </row>
    <row r="445" spans="24:76">
      <c r="X445" s="21"/>
      <c r="BX445"/>
    </row>
    <row r="446" spans="24:76">
      <c r="X446" s="21"/>
      <c r="BX446"/>
    </row>
    <row r="447" spans="24:76">
      <c r="X447" s="21"/>
      <c r="BX447"/>
    </row>
    <row r="448" spans="24:76">
      <c r="X448" s="21"/>
      <c r="BX448"/>
    </row>
    <row r="449" spans="24:76">
      <c r="X449" s="21"/>
      <c r="BX449"/>
    </row>
    <row r="450" spans="24:76">
      <c r="X450" s="21"/>
      <c r="BX450"/>
    </row>
    <row r="451" spans="24:76">
      <c r="X451" s="21"/>
      <c r="BX451"/>
    </row>
    <row r="452" spans="24:76">
      <c r="X452" s="21"/>
      <c r="BX452"/>
    </row>
    <row r="453" spans="24:76">
      <c r="X453" s="21"/>
      <c r="BX453"/>
    </row>
    <row r="454" spans="24:76">
      <c r="X454" s="21"/>
      <c r="BX454"/>
    </row>
    <row r="455" spans="24:76">
      <c r="X455" s="21"/>
      <c r="BX455"/>
    </row>
    <row r="456" spans="24:76">
      <c r="X456" s="21"/>
      <c r="BX456"/>
    </row>
    <row r="457" spans="24:76">
      <c r="X457" s="21"/>
      <c r="BX457"/>
    </row>
    <row r="458" spans="24:76">
      <c r="X458" s="21"/>
      <c r="BX458"/>
    </row>
    <row r="459" spans="24:76">
      <c r="X459" s="21"/>
      <c r="BX459"/>
    </row>
    <row r="460" spans="24:76">
      <c r="X460" s="21"/>
      <c r="BX460"/>
    </row>
    <row r="461" spans="24:76">
      <c r="X461" s="21"/>
      <c r="BX461"/>
    </row>
    <row r="462" spans="24:76">
      <c r="X462" s="21"/>
      <c r="BX462"/>
    </row>
    <row r="463" spans="24:76">
      <c r="X463" s="21"/>
      <c r="BX463"/>
    </row>
    <row r="464" spans="24:76">
      <c r="X464" s="21"/>
      <c r="BX464"/>
    </row>
    <row r="465" spans="24:76">
      <c r="X465" s="21"/>
      <c r="BX465"/>
    </row>
    <row r="466" spans="24:76">
      <c r="X466" s="21"/>
      <c r="BX466"/>
    </row>
    <row r="467" spans="24:76">
      <c r="X467" s="21"/>
      <c r="BX467"/>
    </row>
    <row r="468" spans="24:76">
      <c r="X468" s="21"/>
      <c r="BX468"/>
    </row>
    <row r="469" spans="24:76">
      <c r="X469" s="21"/>
      <c r="BX469"/>
    </row>
    <row r="470" spans="24:76">
      <c r="X470" s="21"/>
      <c r="BX470"/>
    </row>
    <row r="471" spans="24:76">
      <c r="X471" s="21"/>
      <c r="BX471"/>
    </row>
    <row r="472" spans="24:76">
      <c r="X472" s="21"/>
      <c r="BX472"/>
    </row>
    <row r="473" spans="24:76">
      <c r="X473" s="21"/>
      <c r="BX473"/>
    </row>
    <row r="474" spans="24:76">
      <c r="X474" s="21"/>
      <c r="BX474"/>
    </row>
    <row r="475" spans="24:76">
      <c r="X475" s="21"/>
      <c r="BX475"/>
    </row>
    <row r="476" spans="24:76">
      <c r="X476" s="21"/>
      <c r="BX476"/>
    </row>
    <row r="477" spans="24:76">
      <c r="X477" s="21"/>
      <c r="BX477"/>
    </row>
    <row r="478" spans="24:76">
      <c r="X478" s="21"/>
      <c r="BX478"/>
    </row>
    <row r="479" spans="24:76">
      <c r="X479" s="21"/>
      <c r="BX479"/>
    </row>
    <row r="480" spans="24:76">
      <c r="X480" s="21"/>
      <c r="BX480"/>
    </row>
    <row r="481" spans="24:76">
      <c r="X481" s="21"/>
      <c r="BX481"/>
    </row>
    <row r="482" spans="24:76">
      <c r="X482" s="21"/>
      <c r="BX482"/>
    </row>
    <row r="483" spans="24:76">
      <c r="X483" s="21"/>
      <c r="BX483"/>
    </row>
    <row r="484" spans="24:76">
      <c r="X484" s="21"/>
      <c r="BX484"/>
    </row>
    <row r="485" spans="24:76">
      <c r="X485" s="21"/>
      <c r="BX485"/>
    </row>
    <row r="486" spans="24:76">
      <c r="X486" s="21"/>
      <c r="BX486"/>
    </row>
    <row r="487" spans="24:76">
      <c r="X487" s="21"/>
      <c r="BX487"/>
    </row>
    <row r="488" spans="24:76">
      <c r="X488" s="21"/>
      <c r="BX488"/>
    </row>
    <row r="489" spans="24:76">
      <c r="X489" s="21"/>
      <c r="BX489"/>
    </row>
    <row r="490" spans="24:76">
      <c r="X490" s="21"/>
      <c r="BX490"/>
    </row>
    <row r="491" spans="24:76">
      <c r="X491" s="21"/>
      <c r="BX491"/>
    </row>
    <row r="492" spans="24:76">
      <c r="X492" s="21"/>
      <c r="BX492"/>
    </row>
    <row r="493" spans="24:76">
      <c r="X493" s="21"/>
      <c r="BX493"/>
    </row>
    <row r="494" spans="24:76">
      <c r="X494" s="21"/>
      <c r="BX494"/>
    </row>
    <row r="495" spans="24:76">
      <c r="X495" s="21"/>
      <c r="BX495"/>
    </row>
    <row r="496" spans="24:76">
      <c r="X496" s="21"/>
      <c r="BX496"/>
    </row>
    <row r="497" spans="24:76">
      <c r="X497" s="21"/>
      <c r="BX497"/>
    </row>
    <row r="498" spans="24:76">
      <c r="X498" s="21"/>
      <c r="BX498"/>
    </row>
    <row r="499" spans="24:76">
      <c r="X499" s="21"/>
      <c r="BX499"/>
    </row>
    <row r="500" spans="24:76">
      <c r="X500" s="21"/>
      <c r="BX500"/>
    </row>
    <row r="501" spans="24:76">
      <c r="X501" s="21"/>
      <c r="BX501"/>
    </row>
    <row r="502" spans="24:76">
      <c r="X502" s="21"/>
      <c r="BX502"/>
    </row>
    <row r="503" spans="24:76">
      <c r="X503" s="21"/>
      <c r="BX503"/>
    </row>
    <row r="504" spans="24:76">
      <c r="X504" s="21"/>
      <c r="BX504"/>
    </row>
    <row r="505" spans="24:76">
      <c r="X505" s="21"/>
      <c r="BX505"/>
    </row>
    <row r="506" spans="24:76">
      <c r="X506" s="21"/>
      <c r="BX506"/>
    </row>
    <row r="507" spans="24:76">
      <c r="X507" s="21"/>
      <c r="BX507"/>
    </row>
    <row r="508" spans="24:76">
      <c r="X508" s="21"/>
      <c r="BX508"/>
    </row>
    <row r="509" spans="24:76">
      <c r="X509" s="21"/>
      <c r="BX509"/>
    </row>
    <row r="510" spans="24:76">
      <c r="X510" s="21"/>
      <c r="BX510"/>
    </row>
    <row r="511" spans="24:76">
      <c r="X511" s="21"/>
      <c r="BX511"/>
    </row>
    <row r="512" spans="24:76">
      <c r="X512" s="21"/>
      <c r="BX512"/>
    </row>
    <row r="513" spans="24:76">
      <c r="X513" s="21"/>
      <c r="BX513"/>
    </row>
    <row r="514" spans="24:76">
      <c r="X514" s="21"/>
      <c r="BX514"/>
    </row>
    <row r="515" spans="24:76">
      <c r="X515" s="21"/>
      <c r="BX515"/>
    </row>
    <row r="516" spans="24:76">
      <c r="X516" s="21"/>
      <c r="BX516"/>
    </row>
    <row r="517" spans="24:76">
      <c r="X517" s="21"/>
      <c r="BX517"/>
    </row>
    <row r="518" spans="24:76">
      <c r="X518" s="21"/>
      <c r="BX518"/>
    </row>
    <row r="519" spans="24:76">
      <c r="X519" s="21"/>
      <c r="BX519"/>
    </row>
    <row r="520" spans="24:76">
      <c r="X520" s="21"/>
      <c r="BX520"/>
    </row>
    <row r="521" spans="24:76">
      <c r="X521" s="21"/>
      <c r="BX521"/>
    </row>
    <row r="522" spans="24:76">
      <c r="X522" s="21"/>
      <c r="BX522"/>
    </row>
    <row r="523" spans="24:76">
      <c r="X523" s="21"/>
      <c r="BX523"/>
    </row>
    <row r="524" spans="24:76">
      <c r="X524" s="21"/>
      <c r="BX524"/>
    </row>
    <row r="525" spans="24:76">
      <c r="X525" s="21"/>
      <c r="BX525"/>
    </row>
    <row r="526" spans="24:76">
      <c r="X526" s="21"/>
      <c r="BX526"/>
    </row>
    <row r="527" spans="24:76">
      <c r="X527" s="21"/>
      <c r="BX527"/>
    </row>
    <row r="528" spans="24:76">
      <c r="X528" s="21"/>
      <c r="BX528"/>
    </row>
    <row r="529" spans="24:76">
      <c r="X529" s="21"/>
      <c r="BX529"/>
    </row>
    <row r="530" spans="24:76">
      <c r="X530" s="21"/>
      <c r="BX530"/>
    </row>
    <row r="531" spans="24:76">
      <c r="X531" s="21"/>
      <c r="BX531"/>
    </row>
    <row r="532" spans="24:76">
      <c r="X532" s="21"/>
      <c r="BX532"/>
    </row>
    <row r="533" spans="24:76">
      <c r="X533" s="21"/>
      <c r="BX533"/>
    </row>
    <row r="534" spans="24:76">
      <c r="X534" s="21"/>
      <c r="BX534"/>
    </row>
    <row r="535" spans="24:76">
      <c r="X535" s="21"/>
      <c r="BX535"/>
    </row>
    <row r="536" spans="24:76">
      <c r="X536" s="21"/>
      <c r="BX536"/>
    </row>
    <row r="537" spans="24:76">
      <c r="X537" s="21"/>
      <c r="BX537"/>
    </row>
    <row r="538" spans="24:76">
      <c r="X538" s="21"/>
      <c r="BX538"/>
    </row>
    <row r="539" spans="24:76">
      <c r="X539" s="21"/>
      <c r="BX539"/>
    </row>
    <row r="540" spans="24:76">
      <c r="X540" s="21"/>
      <c r="BX540"/>
    </row>
    <row r="541" spans="24:76">
      <c r="X541" s="21"/>
      <c r="BX541"/>
    </row>
    <row r="542" spans="24:76">
      <c r="X542" s="21"/>
      <c r="BX542"/>
    </row>
    <row r="543" spans="24:76">
      <c r="X543" s="21"/>
      <c r="BX543"/>
    </row>
    <row r="544" spans="24:76">
      <c r="X544" s="21"/>
      <c r="BX544"/>
    </row>
    <row r="545" spans="24:76">
      <c r="X545" s="21"/>
      <c r="BX545"/>
    </row>
    <row r="546" spans="24:76">
      <c r="X546" s="21"/>
      <c r="BX546"/>
    </row>
    <row r="547" spans="24:76">
      <c r="X547" s="21"/>
      <c r="BX547"/>
    </row>
    <row r="548" spans="24:76">
      <c r="X548" s="21"/>
      <c r="BX548"/>
    </row>
    <row r="549" spans="24:76">
      <c r="X549" s="21"/>
      <c r="BX549"/>
    </row>
    <row r="550" spans="24:76">
      <c r="X550" s="21"/>
      <c r="BX550"/>
    </row>
    <row r="551" spans="24:76">
      <c r="X551" s="21"/>
      <c r="BX551"/>
    </row>
    <row r="552" spans="24:76">
      <c r="X552" s="21"/>
      <c r="BX552"/>
    </row>
    <row r="553" spans="24:76">
      <c r="X553" s="21"/>
      <c r="BX553"/>
    </row>
    <row r="554" spans="24:76">
      <c r="X554" s="21"/>
      <c r="BX554"/>
    </row>
    <row r="555" spans="24:76">
      <c r="X555" s="21"/>
      <c r="BX555"/>
    </row>
    <row r="556" spans="24:76">
      <c r="X556" s="21"/>
      <c r="BX556"/>
    </row>
    <row r="557" spans="24:76">
      <c r="X557" s="21"/>
      <c r="BX557"/>
    </row>
    <row r="558" spans="24:76">
      <c r="X558" s="21"/>
      <c r="BX558"/>
    </row>
    <row r="559" spans="24:76">
      <c r="X559" s="21"/>
      <c r="BX559"/>
    </row>
    <row r="560" spans="24:76">
      <c r="X560" s="21"/>
      <c r="BX560"/>
    </row>
    <row r="561" spans="24:76">
      <c r="X561" s="21"/>
      <c r="BX561"/>
    </row>
    <row r="562" spans="24:76">
      <c r="X562" s="21"/>
      <c r="BX562"/>
    </row>
    <row r="563" spans="24:76">
      <c r="X563" s="21"/>
      <c r="BX563"/>
    </row>
    <row r="564" spans="24:76">
      <c r="X564" s="21"/>
      <c r="BX564"/>
    </row>
    <row r="565" spans="24:76">
      <c r="X565" s="21"/>
      <c r="BX565"/>
    </row>
    <row r="566" spans="24:76">
      <c r="X566" s="21"/>
      <c r="BX566"/>
    </row>
    <row r="567" spans="24:76">
      <c r="X567" s="21"/>
      <c r="BX567"/>
    </row>
    <row r="568" spans="24:76">
      <c r="X568" s="21"/>
      <c r="BX568"/>
    </row>
    <row r="569" spans="24:76">
      <c r="X569" s="21"/>
      <c r="BX569"/>
    </row>
    <row r="570" spans="24:76">
      <c r="X570" s="21"/>
      <c r="BX570"/>
    </row>
    <row r="571" spans="24:76">
      <c r="X571" s="21"/>
      <c r="BX571"/>
    </row>
    <row r="572" spans="24:76">
      <c r="X572" s="21"/>
      <c r="BX572"/>
    </row>
    <row r="573" spans="24:76">
      <c r="X573" s="21"/>
      <c r="BX573"/>
    </row>
    <row r="574" spans="24:76">
      <c r="X574" s="21"/>
      <c r="BX574"/>
    </row>
    <row r="575" spans="24:76">
      <c r="X575" s="21"/>
      <c r="BX575"/>
    </row>
    <row r="576" spans="24:76">
      <c r="X576" s="21"/>
      <c r="BX576"/>
    </row>
    <row r="577" spans="24:76">
      <c r="X577" s="21"/>
      <c r="BX577"/>
    </row>
    <row r="578" spans="24:76">
      <c r="X578" s="21"/>
      <c r="BX578"/>
    </row>
    <row r="579" spans="24:76">
      <c r="X579" s="21"/>
      <c r="BX579"/>
    </row>
    <row r="580" spans="24:76">
      <c r="X580" s="21"/>
      <c r="BX580"/>
    </row>
    <row r="581" spans="24:76">
      <c r="X581" s="21"/>
      <c r="BX581"/>
    </row>
    <row r="582" spans="24:76">
      <c r="X582" s="21"/>
      <c r="BX582"/>
    </row>
    <row r="583" spans="24:76">
      <c r="X583" s="21"/>
      <c r="BX583"/>
    </row>
    <row r="584" spans="24:76">
      <c r="X584" s="21"/>
      <c r="BX584"/>
    </row>
    <row r="585" spans="24:76">
      <c r="X585" s="21"/>
      <c r="BX585"/>
    </row>
    <row r="586" spans="24:76">
      <c r="X586" s="21"/>
      <c r="BX586"/>
    </row>
    <row r="587" spans="24:76">
      <c r="X587" s="21"/>
      <c r="BX587"/>
    </row>
    <row r="588" spans="24:76">
      <c r="X588" s="21"/>
      <c r="BX588"/>
    </row>
    <row r="589" spans="24:76">
      <c r="X589" s="21"/>
      <c r="BX589"/>
    </row>
    <row r="590" spans="24:76">
      <c r="X590" s="21"/>
      <c r="BX590"/>
    </row>
    <row r="591" spans="24:76">
      <c r="X591" s="21"/>
      <c r="BX591"/>
    </row>
    <row r="592" spans="24:76">
      <c r="X592" s="21"/>
      <c r="BX592"/>
    </row>
    <row r="593" spans="24:76">
      <c r="X593" s="21"/>
      <c r="BX593"/>
    </row>
    <row r="594" spans="24:76">
      <c r="X594" s="21"/>
      <c r="BX594"/>
    </row>
    <row r="595" spans="24:76">
      <c r="X595" s="21"/>
      <c r="BX595"/>
    </row>
    <row r="596" spans="24:76">
      <c r="X596" s="21"/>
      <c r="BX596"/>
    </row>
    <row r="597" spans="24:76">
      <c r="X597" s="21"/>
      <c r="BX597"/>
    </row>
    <row r="598" spans="24:76">
      <c r="X598" s="21"/>
      <c r="BX598"/>
    </row>
    <row r="599" spans="24:76">
      <c r="X599" s="21"/>
      <c r="BX599"/>
    </row>
    <row r="600" spans="24:76">
      <c r="X600" s="21"/>
      <c r="BX600"/>
    </row>
    <row r="601" spans="24:76">
      <c r="X601" s="21"/>
      <c r="BX601"/>
    </row>
    <row r="602" spans="24:76">
      <c r="X602" s="21"/>
      <c r="BX602"/>
    </row>
    <row r="603" spans="24:76">
      <c r="X603" s="21"/>
      <c r="BX603"/>
    </row>
    <row r="604" spans="24:76">
      <c r="X604" s="21"/>
      <c r="BX604"/>
    </row>
    <row r="605" spans="24:76">
      <c r="X605" s="21"/>
      <c r="BX605"/>
    </row>
    <row r="606" spans="24:76">
      <c r="X606" s="21"/>
      <c r="BX606"/>
    </row>
    <row r="607" spans="24:76">
      <c r="X607" s="21"/>
      <c r="BX607"/>
    </row>
    <row r="608" spans="24:76">
      <c r="X608" s="21"/>
      <c r="BX608"/>
    </row>
    <row r="609" spans="24:76">
      <c r="X609" s="21"/>
      <c r="BX609"/>
    </row>
    <row r="610" spans="24:76">
      <c r="X610" s="21"/>
      <c r="BX610"/>
    </row>
    <row r="611" spans="24:76">
      <c r="X611" s="21"/>
      <c r="BX611"/>
    </row>
    <row r="612" spans="24:76">
      <c r="X612" s="21"/>
      <c r="BX612"/>
    </row>
    <row r="613" spans="24:76">
      <c r="X613" s="21"/>
      <c r="BX613"/>
    </row>
    <row r="614" spans="24:76">
      <c r="X614" s="21"/>
      <c r="BX614"/>
    </row>
    <row r="615" spans="24:76">
      <c r="X615" s="21"/>
      <c r="BX615"/>
    </row>
    <row r="616" spans="24:76">
      <c r="X616" s="21"/>
      <c r="BX616"/>
    </row>
    <row r="617" spans="24:76">
      <c r="X617" s="21"/>
      <c r="BX617"/>
    </row>
    <row r="618" spans="24:76">
      <c r="X618" s="21"/>
      <c r="BX618"/>
    </row>
    <row r="619" spans="24:76">
      <c r="X619" s="21"/>
      <c r="BX619"/>
    </row>
    <row r="620" spans="24:76">
      <c r="X620" s="21"/>
      <c r="BX620"/>
    </row>
    <row r="621" spans="24:76">
      <c r="X621" s="21"/>
      <c r="BX621"/>
    </row>
    <row r="622" spans="24:76">
      <c r="X622" s="21"/>
      <c r="BX622"/>
    </row>
    <row r="623" spans="24:76">
      <c r="X623" s="21"/>
      <c r="BX623"/>
    </row>
    <row r="624" spans="24:76">
      <c r="X624" s="21"/>
      <c r="BX624"/>
    </row>
    <row r="625" spans="24:76">
      <c r="X625" s="21"/>
      <c r="BX625"/>
    </row>
    <row r="626" spans="24:76">
      <c r="X626" s="21"/>
      <c r="BX626"/>
    </row>
    <row r="627" spans="24:76">
      <c r="X627" s="21"/>
      <c r="BX627"/>
    </row>
    <row r="628" spans="24:76">
      <c r="X628" s="21"/>
      <c r="BX628"/>
    </row>
    <row r="629" spans="24:76">
      <c r="X629" s="21"/>
      <c r="BX629"/>
    </row>
    <row r="630" spans="24:76">
      <c r="X630" s="21"/>
      <c r="BX630"/>
    </row>
    <row r="631" spans="24:76">
      <c r="X631" s="21"/>
      <c r="BX631"/>
    </row>
    <row r="632" spans="24:76">
      <c r="X632" s="21"/>
      <c r="BX632"/>
    </row>
    <row r="633" spans="24:76">
      <c r="X633" s="21"/>
      <c r="BX633"/>
    </row>
    <row r="634" spans="24:76">
      <c r="X634" s="21"/>
      <c r="BX634"/>
    </row>
    <row r="635" spans="24:76">
      <c r="X635" s="21"/>
      <c r="BX635"/>
    </row>
    <row r="636" spans="24:76">
      <c r="X636" s="21"/>
      <c r="BX636"/>
    </row>
    <row r="637" spans="24:76">
      <c r="X637" s="21"/>
      <c r="BX637"/>
    </row>
    <row r="638" spans="24:76">
      <c r="X638" s="21"/>
      <c r="BX638"/>
    </row>
    <row r="639" spans="24:76">
      <c r="X639" s="21"/>
      <c r="BX639"/>
    </row>
    <row r="640" spans="24:76">
      <c r="X640" s="21"/>
      <c r="BX640"/>
    </row>
    <row r="641" spans="24:76">
      <c r="X641" s="21"/>
      <c r="BX641"/>
    </row>
    <row r="642" spans="24:76">
      <c r="X642" s="21"/>
      <c r="BX642"/>
    </row>
    <row r="643" spans="24:76">
      <c r="X643" s="21"/>
      <c r="BX643"/>
    </row>
    <row r="644" spans="24:76">
      <c r="X644" s="21"/>
      <c r="BX644"/>
    </row>
    <row r="645" spans="24:76">
      <c r="X645" s="21"/>
      <c r="BX645"/>
    </row>
    <row r="646" spans="24:76">
      <c r="X646" s="21"/>
      <c r="BX646"/>
    </row>
    <row r="647" spans="24:76">
      <c r="X647" s="21"/>
      <c r="BX647"/>
    </row>
    <row r="648" spans="24:76">
      <c r="X648" s="21"/>
      <c r="BX648"/>
    </row>
    <row r="649" spans="24:76">
      <c r="X649" s="21"/>
      <c r="BX649"/>
    </row>
    <row r="650" spans="24:76">
      <c r="X650" s="21"/>
      <c r="BX650"/>
    </row>
    <row r="651" spans="24:76">
      <c r="X651" s="21"/>
      <c r="BX651"/>
    </row>
    <row r="652" spans="24:76">
      <c r="X652" s="21"/>
      <c r="BX652"/>
    </row>
    <row r="653" spans="24:76">
      <c r="X653" s="21"/>
      <c r="BX653"/>
    </row>
    <row r="654" spans="24:76">
      <c r="X654" s="21"/>
      <c r="BX654"/>
    </row>
    <row r="655" spans="24:76">
      <c r="X655" s="21"/>
      <c r="BX655"/>
    </row>
    <row r="656" spans="24:76">
      <c r="X656" s="21"/>
      <c r="BX656"/>
    </row>
    <row r="657" spans="24:76">
      <c r="X657" s="21"/>
      <c r="BX657"/>
    </row>
    <row r="658" spans="24:76">
      <c r="X658" s="21"/>
      <c r="BX658"/>
    </row>
    <row r="659" spans="24:76">
      <c r="X659" s="21"/>
      <c r="BX659"/>
    </row>
    <row r="660" spans="24:76">
      <c r="X660" s="21"/>
      <c r="BX660"/>
    </row>
    <row r="661" spans="24:76">
      <c r="X661" s="21"/>
      <c r="BX661"/>
    </row>
    <row r="662" spans="24:76">
      <c r="X662" s="21"/>
      <c r="BX662"/>
    </row>
    <row r="663" spans="24:76">
      <c r="X663" s="21"/>
      <c r="BX663"/>
    </row>
    <row r="664" spans="24:76">
      <c r="X664" s="21"/>
      <c r="BX664"/>
    </row>
    <row r="665" spans="24:76">
      <c r="X665" s="21"/>
      <c r="BX665"/>
    </row>
    <row r="666" spans="24:76">
      <c r="X666" s="21"/>
      <c r="BX666"/>
    </row>
    <row r="667" spans="24:76">
      <c r="X667" s="21"/>
      <c r="BX667"/>
    </row>
    <row r="668" spans="24:76">
      <c r="X668" s="21"/>
      <c r="BX668"/>
    </row>
    <row r="669" spans="24:76">
      <c r="X669" s="21"/>
      <c r="BX669"/>
    </row>
    <row r="670" spans="24:76">
      <c r="X670" s="21"/>
      <c r="BX670"/>
    </row>
    <row r="671" spans="24:76">
      <c r="X671" s="21"/>
      <c r="BX671"/>
    </row>
    <row r="672" spans="24:76">
      <c r="X672" s="21"/>
      <c r="BX672"/>
    </row>
    <row r="673" spans="24:76">
      <c r="X673" s="21"/>
      <c r="BX673"/>
    </row>
    <row r="674" spans="24:76">
      <c r="X674" s="21"/>
      <c r="BX674"/>
    </row>
    <row r="675" spans="24:76">
      <c r="X675" s="21"/>
      <c r="BX675"/>
    </row>
    <row r="676" spans="24:76">
      <c r="X676" s="21"/>
      <c r="BX676"/>
    </row>
    <row r="677" spans="24:76">
      <c r="X677" s="21"/>
      <c r="BX677"/>
    </row>
    <row r="678" spans="24:76">
      <c r="X678" s="21"/>
      <c r="BX678"/>
    </row>
    <row r="679" spans="24:76">
      <c r="X679" s="21"/>
      <c r="BX679"/>
    </row>
    <row r="680" spans="24:76">
      <c r="X680" s="21"/>
      <c r="BX680"/>
    </row>
    <row r="681" spans="24:76">
      <c r="X681" s="21"/>
      <c r="BX681"/>
    </row>
    <row r="682" spans="24:76">
      <c r="X682" s="21"/>
      <c r="BX682"/>
    </row>
    <row r="683" spans="24:76">
      <c r="X683" s="21"/>
      <c r="BX683"/>
    </row>
    <row r="684" spans="24:76">
      <c r="X684" s="21"/>
      <c r="BX684"/>
    </row>
    <row r="685" spans="24:76">
      <c r="X685" s="21"/>
      <c r="BX685"/>
    </row>
    <row r="686" spans="24:76">
      <c r="X686" s="21"/>
      <c r="BX686"/>
    </row>
    <row r="687" spans="24:76">
      <c r="X687" s="21"/>
      <c r="BX687"/>
    </row>
    <row r="688" spans="24:76">
      <c r="X688" s="21"/>
      <c r="BX688"/>
    </row>
    <row r="689" spans="24:76">
      <c r="X689" s="21"/>
      <c r="BX689"/>
    </row>
    <row r="690" spans="24:76">
      <c r="X690" s="21"/>
      <c r="BX690"/>
    </row>
    <row r="691" spans="24:76">
      <c r="X691" s="21"/>
      <c r="BX691"/>
    </row>
    <row r="692" spans="24:76">
      <c r="X692" s="21"/>
      <c r="BX692"/>
    </row>
    <row r="693" spans="24:76">
      <c r="X693" s="21"/>
      <c r="BX693"/>
    </row>
    <row r="694" spans="24:76">
      <c r="X694" s="21"/>
      <c r="BX694"/>
    </row>
    <row r="695" spans="24:76">
      <c r="X695" s="21"/>
      <c r="BX695"/>
    </row>
    <row r="696" spans="24:76">
      <c r="X696" s="21"/>
      <c r="BX696"/>
    </row>
    <row r="697" spans="24:76">
      <c r="X697" s="21"/>
      <c r="BX697"/>
    </row>
    <row r="698" spans="24:76">
      <c r="X698" s="21"/>
      <c r="BX698"/>
    </row>
    <row r="699" spans="24:76">
      <c r="X699" s="21"/>
      <c r="BX699"/>
    </row>
    <row r="700" spans="24:76">
      <c r="X700" s="21"/>
      <c r="BX700"/>
    </row>
    <row r="701" spans="24:76">
      <c r="X701" s="21"/>
      <c r="BX701"/>
    </row>
    <row r="702" spans="24:76">
      <c r="X702" s="21"/>
      <c r="BX702"/>
    </row>
    <row r="703" spans="24:76">
      <c r="X703" s="21"/>
      <c r="BX703"/>
    </row>
    <row r="704" spans="24:76">
      <c r="X704" s="21"/>
      <c r="BX704"/>
    </row>
    <row r="705" spans="24:76">
      <c r="X705" s="21"/>
      <c r="BX705"/>
    </row>
    <row r="706" spans="24:76">
      <c r="X706" s="21"/>
      <c r="BX706"/>
    </row>
    <row r="707" spans="24:76">
      <c r="X707" s="21"/>
      <c r="BX707"/>
    </row>
    <row r="708" spans="24:76">
      <c r="X708" s="21"/>
      <c r="BX708"/>
    </row>
    <row r="709" spans="24:76">
      <c r="X709" s="21"/>
      <c r="BX709"/>
    </row>
    <row r="710" spans="24:76">
      <c r="X710" s="21"/>
      <c r="BX710"/>
    </row>
    <row r="711" spans="24:76">
      <c r="X711" s="21"/>
      <c r="BX711"/>
    </row>
    <row r="712" spans="24:76">
      <c r="X712" s="21"/>
      <c r="BX712"/>
    </row>
    <row r="713" spans="24:76">
      <c r="X713" s="21"/>
      <c r="BX713"/>
    </row>
    <row r="714" spans="24:76">
      <c r="X714" s="21"/>
      <c r="BX714"/>
    </row>
    <row r="715" spans="24:76">
      <c r="X715" s="21"/>
      <c r="BX715"/>
    </row>
    <row r="716" spans="24:76">
      <c r="X716" s="21"/>
      <c r="BX716"/>
    </row>
    <row r="717" spans="24:76">
      <c r="X717" s="21"/>
      <c r="BX717"/>
    </row>
    <row r="718" spans="24:76">
      <c r="X718" s="21"/>
      <c r="BX718"/>
    </row>
    <row r="719" spans="24:76">
      <c r="X719" s="21"/>
      <c r="BX719"/>
    </row>
    <row r="720" spans="24:76">
      <c r="X720" s="21"/>
      <c r="BX720"/>
    </row>
    <row r="721" spans="24:76">
      <c r="X721" s="21"/>
      <c r="BX721"/>
    </row>
    <row r="722" spans="24:76">
      <c r="X722" s="21"/>
      <c r="BX722"/>
    </row>
    <row r="723" spans="24:76">
      <c r="X723" s="21"/>
      <c r="BX723"/>
    </row>
    <row r="724" spans="24:76">
      <c r="X724" s="21"/>
      <c r="BX724"/>
    </row>
    <row r="725" spans="24:76">
      <c r="X725" s="21"/>
      <c r="BX725"/>
    </row>
    <row r="726" spans="24:76">
      <c r="X726" s="21"/>
      <c r="BX726"/>
    </row>
    <row r="727" spans="24:76">
      <c r="X727" s="21"/>
      <c r="BX727"/>
    </row>
    <row r="728" spans="24:76">
      <c r="X728" s="21"/>
      <c r="BX728"/>
    </row>
    <row r="729" spans="24:76">
      <c r="X729" s="21"/>
      <c r="BX729"/>
    </row>
    <row r="730" spans="24:76">
      <c r="X730" s="21"/>
      <c r="BX730"/>
    </row>
    <row r="731" spans="24:76">
      <c r="X731" s="21"/>
      <c r="BX731"/>
    </row>
    <row r="732" spans="24:76">
      <c r="X732" s="21"/>
      <c r="BX732"/>
    </row>
    <row r="733" spans="24:76">
      <c r="X733" s="21"/>
      <c r="BX733"/>
    </row>
    <row r="734" spans="24:76">
      <c r="X734" s="21"/>
      <c r="BX734"/>
    </row>
    <row r="735" spans="24:76">
      <c r="X735" s="21"/>
      <c r="BX735"/>
    </row>
    <row r="736" spans="24:76">
      <c r="X736" s="21"/>
      <c r="BX736"/>
    </row>
    <row r="737" spans="24:76">
      <c r="X737" s="21"/>
      <c r="BX737"/>
    </row>
    <row r="738" spans="24:76">
      <c r="X738" s="21"/>
      <c r="BX738"/>
    </row>
    <row r="739" spans="24:76">
      <c r="X739" s="21"/>
      <c r="BX739"/>
    </row>
    <row r="740" spans="24:76">
      <c r="X740" s="21"/>
      <c r="BX740"/>
    </row>
    <row r="741" spans="24:76">
      <c r="X741" s="21"/>
      <c r="BX741"/>
    </row>
    <row r="742" spans="24:76">
      <c r="X742" s="21"/>
      <c r="BX742"/>
    </row>
    <row r="743" spans="24:76">
      <c r="X743" s="21"/>
      <c r="BX743"/>
    </row>
    <row r="744" spans="24:76">
      <c r="X744" s="21"/>
      <c r="BX744"/>
    </row>
    <row r="745" spans="24:76">
      <c r="X745" s="21"/>
      <c r="BX745"/>
    </row>
    <row r="746" spans="24:76">
      <c r="X746" s="21"/>
      <c r="BX746"/>
    </row>
    <row r="747" spans="24:76">
      <c r="X747" s="21"/>
      <c r="BX747"/>
    </row>
    <row r="748" spans="24:76">
      <c r="X748" s="21"/>
      <c r="BX748"/>
    </row>
    <row r="749" spans="24:76">
      <c r="X749" s="21"/>
      <c r="BX749"/>
    </row>
    <row r="750" spans="24:76">
      <c r="X750" s="21"/>
      <c r="BX750"/>
    </row>
    <row r="751" spans="24:76">
      <c r="X751" s="21"/>
      <c r="BX751"/>
    </row>
    <row r="752" spans="24:76">
      <c r="X752" s="21"/>
      <c r="BX752"/>
    </row>
    <row r="753" spans="24:76">
      <c r="X753" s="21"/>
      <c r="BX753"/>
    </row>
    <row r="754" spans="24:76">
      <c r="X754" s="21"/>
      <c r="BX754"/>
    </row>
    <row r="755" spans="24:76">
      <c r="X755" s="21"/>
      <c r="BX755"/>
    </row>
    <row r="756" spans="24:76">
      <c r="X756" s="21"/>
      <c r="BX756"/>
    </row>
    <row r="757" spans="24:76">
      <c r="X757" s="21"/>
      <c r="BX757"/>
    </row>
    <row r="758" spans="24:76">
      <c r="X758" s="21"/>
      <c r="BX758"/>
    </row>
    <row r="759" spans="24:76">
      <c r="X759" s="21"/>
      <c r="BX759"/>
    </row>
    <row r="760" spans="24:76">
      <c r="X760" s="21"/>
      <c r="BX760"/>
    </row>
    <row r="761" spans="24:76">
      <c r="X761" s="21"/>
      <c r="BX761"/>
    </row>
    <row r="762" spans="24:76">
      <c r="X762" s="21"/>
      <c r="BX762"/>
    </row>
    <row r="763" spans="24:76">
      <c r="X763" s="21"/>
      <c r="BX763"/>
    </row>
    <row r="764" spans="24:76">
      <c r="X764" s="21"/>
      <c r="BX764"/>
    </row>
    <row r="765" spans="24:76">
      <c r="X765" s="21"/>
      <c r="BX765"/>
    </row>
    <row r="766" spans="24:76">
      <c r="X766" s="21"/>
      <c r="BX766"/>
    </row>
    <row r="767" spans="24:76">
      <c r="X767" s="21"/>
      <c r="BX767"/>
    </row>
    <row r="768" spans="24:76">
      <c r="X768" s="21"/>
      <c r="BX768"/>
    </row>
    <row r="769" spans="24:76">
      <c r="X769" s="21"/>
      <c r="BX769"/>
    </row>
    <row r="770" spans="24:76">
      <c r="X770" s="21"/>
      <c r="BX770"/>
    </row>
    <row r="771" spans="24:76">
      <c r="X771" s="21"/>
      <c r="BX771"/>
    </row>
    <row r="772" spans="24:76">
      <c r="X772" s="21"/>
      <c r="BX772"/>
    </row>
    <row r="773" spans="24:76">
      <c r="X773" s="21"/>
      <c r="BX773"/>
    </row>
    <row r="774" spans="24:76">
      <c r="X774" s="21"/>
      <c r="BX774"/>
    </row>
    <row r="775" spans="24:76">
      <c r="X775" s="21"/>
      <c r="BX775"/>
    </row>
    <row r="776" spans="24:76">
      <c r="X776" s="21"/>
      <c r="BX776"/>
    </row>
    <row r="777" spans="24:76">
      <c r="X777" s="21"/>
      <c r="BX777"/>
    </row>
    <row r="778" spans="24:76">
      <c r="X778" s="21"/>
      <c r="BX778"/>
    </row>
    <row r="779" spans="24:76">
      <c r="X779" s="21"/>
      <c r="BX779"/>
    </row>
    <row r="780" spans="24:76">
      <c r="X780" s="21"/>
      <c r="BX780"/>
    </row>
    <row r="781" spans="24:76">
      <c r="X781" s="21"/>
      <c r="BX781"/>
    </row>
    <row r="782" spans="24:76">
      <c r="X782" s="21"/>
      <c r="BX782"/>
    </row>
    <row r="783" spans="24:76">
      <c r="X783" s="21"/>
      <c r="BX783"/>
    </row>
    <row r="784" spans="24:76">
      <c r="X784" s="21"/>
      <c r="BX784"/>
    </row>
    <row r="785" spans="24:76">
      <c r="X785" s="21"/>
      <c r="BX785"/>
    </row>
    <row r="786" spans="24:76">
      <c r="X786" s="21"/>
      <c r="BX786"/>
    </row>
    <row r="787" spans="24:76">
      <c r="X787" s="21"/>
      <c r="BX787"/>
    </row>
    <row r="788" spans="24:76">
      <c r="X788" s="21"/>
      <c r="BX788"/>
    </row>
    <row r="789" spans="24:76">
      <c r="X789" s="21"/>
      <c r="BX789"/>
    </row>
    <row r="790" spans="24:76">
      <c r="X790" s="21"/>
      <c r="BX790"/>
    </row>
    <row r="791" spans="24:76">
      <c r="X791" s="21"/>
      <c r="BX791"/>
    </row>
    <row r="792" spans="24:76">
      <c r="X792" s="21"/>
      <c r="BX792"/>
    </row>
    <row r="793" spans="24:76">
      <c r="X793" s="21"/>
      <c r="BX793"/>
    </row>
    <row r="794" spans="24:76">
      <c r="X794" s="21"/>
      <c r="BX794"/>
    </row>
    <row r="795" spans="24:76">
      <c r="X795" s="21"/>
      <c r="BX795"/>
    </row>
    <row r="796" spans="24:76">
      <c r="X796" s="21"/>
      <c r="BX796"/>
    </row>
    <row r="797" spans="24:76">
      <c r="X797" s="21"/>
      <c r="BX797"/>
    </row>
    <row r="798" spans="24:76">
      <c r="X798" s="21"/>
      <c r="BX798"/>
    </row>
    <row r="799" spans="24:76">
      <c r="X799" s="21"/>
      <c r="BX799"/>
    </row>
    <row r="800" spans="24:76">
      <c r="X800" s="21"/>
      <c r="BX800"/>
    </row>
    <row r="801" spans="24:76">
      <c r="X801" s="21"/>
      <c r="BX801"/>
    </row>
    <row r="802" spans="24:76">
      <c r="X802" s="21"/>
      <c r="BX802"/>
    </row>
    <row r="803" spans="24:76">
      <c r="X803" s="21"/>
      <c r="BX803"/>
    </row>
    <row r="804" spans="24:76">
      <c r="X804" s="21"/>
      <c r="BX804"/>
    </row>
    <row r="805" spans="24:76">
      <c r="X805" s="21"/>
      <c r="BX805"/>
    </row>
    <row r="806" spans="24:76">
      <c r="X806" s="21"/>
      <c r="BX806"/>
    </row>
    <row r="807" spans="24:76">
      <c r="X807" s="21"/>
      <c r="BX807"/>
    </row>
    <row r="808" spans="24:76">
      <c r="X808" s="21"/>
      <c r="BX808"/>
    </row>
    <row r="809" spans="24:76">
      <c r="X809" s="21"/>
      <c r="BX809"/>
    </row>
    <row r="810" spans="24:76">
      <c r="X810" s="21"/>
      <c r="BX810"/>
    </row>
    <row r="811" spans="24:76">
      <c r="X811" s="21"/>
      <c r="BX811"/>
    </row>
    <row r="812" spans="24:76">
      <c r="X812" s="21"/>
      <c r="BX812"/>
    </row>
    <row r="813" spans="24:76">
      <c r="X813" s="21"/>
      <c r="BX813"/>
    </row>
    <row r="814" spans="24:76">
      <c r="X814" s="21"/>
      <c r="BX814"/>
    </row>
    <row r="815" spans="24:76">
      <c r="X815" s="21"/>
      <c r="BX815"/>
    </row>
    <row r="816" spans="24:76">
      <c r="X816" s="21"/>
      <c r="BX816"/>
    </row>
    <row r="817" spans="24:76">
      <c r="X817" s="21"/>
      <c r="BX817"/>
    </row>
    <row r="818" spans="24:76">
      <c r="X818" s="21"/>
      <c r="BX818"/>
    </row>
    <row r="819" spans="24:76">
      <c r="X819" s="21"/>
      <c r="BX819"/>
    </row>
    <row r="820" spans="24:76">
      <c r="X820" s="21"/>
      <c r="BX820"/>
    </row>
    <row r="821" spans="24:76">
      <c r="X821" s="21"/>
      <c r="BX821"/>
    </row>
    <row r="822" spans="24:76">
      <c r="X822" s="21"/>
      <c r="BX822"/>
    </row>
    <row r="823" spans="24:76">
      <c r="X823" s="21"/>
      <c r="BX823"/>
    </row>
    <row r="824" spans="24:76">
      <c r="X824" s="21"/>
      <c r="BX824"/>
    </row>
    <row r="825" spans="24:76">
      <c r="X825" s="21"/>
      <c r="BX825"/>
    </row>
    <row r="826" spans="24:76">
      <c r="X826" s="21"/>
      <c r="BX826"/>
    </row>
    <row r="827" spans="24:76">
      <c r="X827" s="21"/>
      <c r="BX827"/>
    </row>
    <row r="828" spans="24:76">
      <c r="X828" s="21"/>
      <c r="BX828"/>
    </row>
    <row r="829" spans="24:76">
      <c r="X829" s="21"/>
      <c r="BX829"/>
    </row>
    <row r="830" spans="24:76">
      <c r="X830" s="21"/>
      <c r="BX830"/>
    </row>
    <row r="831" spans="24:76">
      <c r="X831" s="21"/>
      <c r="BX831"/>
    </row>
    <row r="832" spans="24:76">
      <c r="X832" s="21"/>
      <c r="BX832"/>
    </row>
    <row r="833" spans="24:76">
      <c r="X833" s="21"/>
      <c r="BX833"/>
    </row>
    <row r="834" spans="24:76">
      <c r="X834" s="21"/>
      <c r="BX834"/>
    </row>
    <row r="835" spans="24:76">
      <c r="X835" s="21"/>
      <c r="BX835"/>
    </row>
    <row r="836" spans="24:76">
      <c r="X836" s="21"/>
      <c r="BX836"/>
    </row>
    <row r="837" spans="24:76">
      <c r="X837" s="21"/>
      <c r="BX837"/>
    </row>
    <row r="838" spans="24:76">
      <c r="X838" s="21"/>
      <c r="BX838"/>
    </row>
    <row r="839" spans="24:76">
      <c r="X839" s="21"/>
      <c r="BX839"/>
    </row>
    <row r="840" spans="24:76">
      <c r="X840" s="21"/>
      <c r="BX840"/>
    </row>
    <row r="841" spans="24:76">
      <c r="X841" s="21"/>
      <c r="BX841"/>
    </row>
    <row r="842" spans="24:76">
      <c r="X842" s="21"/>
      <c r="BX842"/>
    </row>
    <row r="843" spans="24:76">
      <c r="X843" s="21"/>
      <c r="BX843"/>
    </row>
    <row r="844" spans="24:76">
      <c r="X844" s="21"/>
      <c r="BX844"/>
    </row>
    <row r="845" spans="24:76">
      <c r="X845" s="21"/>
      <c r="BX845"/>
    </row>
    <row r="846" spans="24:76">
      <c r="X846" s="21"/>
      <c r="BX846"/>
    </row>
    <row r="847" spans="24:76">
      <c r="X847" s="21"/>
      <c r="BX847"/>
    </row>
    <row r="848" spans="24:76">
      <c r="X848" s="21"/>
      <c r="BX848"/>
    </row>
    <row r="849" spans="24:76">
      <c r="X849" s="21"/>
      <c r="BX849"/>
    </row>
    <row r="850" spans="24:76">
      <c r="X850" s="21"/>
      <c r="BX850"/>
    </row>
    <row r="851" spans="24:76">
      <c r="X851" s="21"/>
      <c r="BX851"/>
    </row>
    <row r="852" spans="24:76">
      <c r="X852" s="21"/>
      <c r="BX852"/>
    </row>
    <row r="853" spans="24:76">
      <c r="X853" s="21"/>
      <c r="BX853"/>
    </row>
    <row r="854" spans="24:76">
      <c r="X854" s="21"/>
      <c r="BX854"/>
    </row>
    <row r="855" spans="24:76">
      <c r="X855" s="21"/>
      <c r="BX855"/>
    </row>
    <row r="856" spans="24:76">
      <c r="X856" s="21"/>
      <c r="BX856"/>
    </row>
    <row r="857" spans="24:76">
      <c r="X857" s="21"/>
      <c r="BX857"/>
    </row>
    <row r="858" spans="24:76">
      <c r="X858" s="21"/>
      <c r="BX858"/>
    </row>
    <row r="859" spans="24:76">
      <c r="X859" s="21"/>
      <c r="BX859"/>
    </row>
    <row r="860" spans="24:76">
      <c r="X860" s="21"/>
      <c r="BX860"/>
    </row>
    <row r="861" spans="24:76">
      <c r="X861" s="21"/>
      <c r="BX861"/>
    </row>
    <row r="862" spans="24:76">
      <c r="X862" s="21"/>
      <c r="BX862"/>
    </row>
    <row r="863" spans="24:76">
      <c r="X863" s="21"/>
      <c r="BX863"/>
    </row>
    <row r="864" spans="24:76">
      <c r="X864" s="21"/>
      <c r="BX864"/>
    </row>
    <row r="865" spans="24:76">
      <c r="X865" s="21"/>
      <c r="BX865"/>
    </row>
    <row r="866" spans="24:76">
      <c r="X866" s="21"/>
      <c r="BX866"/>
    </row>
    <row r="867" spans="24:76">
      <c r="X867" s="21"/>
      <c r="BX867"/>
    </row>
    <row r="868" spans="24:76">
      <c r="X868" s="21"/>
      <c r="BX868"/>
    </row>
    <row r="869" spans="24:76">
      <c r="X869" s="21"/>
      <c r="BX869"/>
    </row>
    <row r="870" spans="24:76">
      <c r="X870" s="21"/>
      <c r="BX870"/>
    </row>
    <row r="871" spans="24:76">
      <c r="X871" s="21"/>
      <c r="BX871"/>
    </row>
    <row r="872" spans="24:76">
      <c r="X872" s="21"/>
      <c r="BX872"/>
    </row>
    <row r="873" spans="24:76">
      <c r="X873" s="21"/>
      <c r="BX873"/>
    </row>
    <row r="874" spans="24:76">
      <c r="X874" s="21"/>
      <c r="BX874"/>
    </row>
    <row r="875" spans="24:76">
      <c r="X875" s="21"/>
      <c r="BX875"/>
    </row>
    <row r="876" spans="24:76">
      <c r="X876" s="21"/>
      <c r="BX876"/>
    </row>
    <row r="877" spans="24:76">
      <c r="X877" s="21"/>
      <c r="BX877"/>
    </row>
    <row r="878" spans="24:76">
      <c r="X878" s="21"/>
      <c r="BX878"/>
    </row>
    <row r="879" spans="24:76">
      <c r="X879" s="21"/>
      <c r="BX879"/>
    </row>
    <row r="880" spans="24:76">
      <c r="X880" s="21"/>
      <c r="BX880"/>
    </row>
    <row r="881" spans="24:76">
      <c r="X881" s="21"/>
      <c r="BX881"/>
    </row>
    <row r="882" spans="24:76">
      <c r="X882" s="21"/>
      <c r="BX882"/>
    </row>
    <row r="883" spans="24:76">
      <c r="X883" s="21"/>
      <c r="BX883"/>
    </row>
    <row r="884" spans="24:76">
      <c r="X884" s="21"/>
      <c r="BX884"/>
    </row>
    <row r="885" spans="24:76">
      <c r="X885" s="21"/>
      <c r="BX885"/>
    </row>
    <row r="886" spans="24:76">
      <c r="X886" s="21"/>
      <c r="BX886"/>
    </row>
    <row r="887" spans="24:76">
      <c r="X887" s="21"/>
      <c r="BX887"/>
    </row>
    <row r="888" spans="24:76">
      <c r="X888" s="21"/>
      <c r="BX888"/>
    </row>
    <row r="889" spans="24:76">
      <c r="X889" s="21"/>
      <c r="BX889"/>
    </row>
    <row r="890" spans="24:76">
      <c r="X890" s="21"/>
      <c r="BX890"/>
    </row>
    <row r="891" spans="24:76">
      <c r="X891" s="21"/>
      <c r="BX891"/>
    </row>
    <row r="892" spans="24:76">
      <c r="X892" s="21"/>
      <c r="BX892"/>
    </row>
    <row r="893" spans="24:76">
      <c r="X893" s="21"/>
      <c r="BX893"/>
    </row>
    <row r="894" spans="24:76">
      <c r="X894" s="21"/>
      <c r="BX894"/>
    </row>
    <row r="895" spans="24:76">
      <c r="X895" s="21"/>
      <c r="BX895"/>
    </row>
    <row r="896" spans="24:76">
      <c r="X896" s="21"/>
      <c r="BX896"/>
    </row>
    <row r="897" spans="24:76">
      <c r="X897" s="21"/>
      <c r="BX897"/>
    </row>
    <row r="898" spans="24:76">
      <c r="X898" s="21"/>
      <c r="BX898"/>
    </row>
    <row r="899" spans="24:76">
      <c r="X899" s="21"/>
      <c r="BX899"/>
    </row>
    <row r="900" spans="24:76">
      <c r="X900" s="21"/>
      <c r="BX900"/>
    </row>
  </sheetData>
  <sheetProtection sheet="1" objects="1" scenarios="1"/>
  <mergeCells count="12">
    <mergeCell ref="B2:B3"/>
    <mergeCell ref="BB3:BC4"/>
    <mergeCell ref="BD3:BD4"/>
    <mergeCell ref="B14:C15"/>
    <mergeCell ref="Z15:Z16"/>
    <mergeCell ref="AA15:AA16"/>
    <mergeCell ref="Z18:Z19"/>
    <mergeCell ref="AA18:AA19"/>
    <mergeCell ref="Z21:Z22"/>
    <mergeCell ref="AA21:AA22"/>
    <mergeCell ref="Z24:Z25"/>
    <mergeCell ref="AA24:AA25"/>
  </mergeCells>
  <pageMargins left="0.7" right="0.7" top="0.75" bottom="0.75" header="0.3" footer="0.3"/>
  <pageSetup orientation="portrait" r:id="rId1"/>
  <drawing r:id="rId2"/>
  <tableParts count="8">
    <tablePart r:id="rId3"/>
    <tablePart r:id="rId4"/>
    <tablePart r:id="rId5"/>
    <tablePart r:id="rId6"/>
    <tablePart r:id="rId7"/>
    <tablePart r:id="rId8"/>
    <tablePart r:id="rId9"/>
    <tablePart r:id="rId10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C00000"/>
  </sheetPr>
  <dimension ref="A1:CO900"/>
  <sheetViews>
    <sheetView showZeros="0" tabSelected="1" zoomScale="80" zoomScaleNormal="80" workbookViewId="0">
      <selection activeCell="E30" sqref="E30"/>
    </sheetView>
  </sheetViews>
  <sheetFormatPr defaultColWidth="8.77734375" defaultRowHeight="14.4"/>
  <cols>
    <col min="1" max="1" width="2.6640625" style="4" customWidth="1"/>
    <col min="2" max="2" width="48.6640625" style="4" customWidth="1"/>
    <col min="3" max="3" width="2.77734375" style="4" customWidth="1"/>
    <col min="4" max="4" width="53.44140625" style="4" customWidth="1"/>
    <col min="5" max="5" width="5.6640625" style="4" customWidth="1"/>
    <col min="6" max="6" width="53.44140625" style="4" customWidth="1"/>
    <col min="7" max="7" width="5.6640625" style="4" customWidth="1"/>
    <col min="8" max="8" width="53.44140625" style="4" customWidth="1"/>
    <col min="9" max="9" width="5.6640625" style="4" customWidth="1"/>
    <col min="10" max="10" width="53.44140625" style="4" customWidth="1"/>
    <col min="11" max="23" width="77.6640625" style="4" customWidth="1"/>
    <col min="24" max="24" width="3.6640625" customWidth="1"/>
    <col min="25" max="25" width="8.6640625" style="4" customWidth="1"/>
    <col min="27" max="27" width="30.6640625" customWidth="1"/>
    <col min="36" max="36" width="30.6640625" customWidth="1"/>
    <col min="43" max="43" width="8.6640625" style="4" customWidth="1"/>
    <col min="44" max="44" width="9.109375" style="4"/>
    <col min="45" max="45" width="21.6640625" customWidth="1"/>
    <col min="47" max="47" width="9.109375" customWidth="1"/>
    <col min="52" max="53" width="5.6640625" customWidth="1"/>
    <col min="54" max="54" width="21.6640625" customWidth="1"/>
    <col min="55" max="55" width="8.77734375" customWidth="1"/>
    <col min="56" max="60" width="10.6640625" customWidth="1"/>
    <col min="61" max="61" width="36.109375" customWidth="1"/>
    <col min="62" max="63" width="10.6640625" customWidth="1"/>
    <col min="64" max="64" width="10.44140625" customWidth="1"/>
    <col min="65" max="66" width="10.6640625" customWidth="1"/>
    <col min="67" max="67" width="9.77734375" customWidth="1"/>
    <col min="68" max="68" width="31.77734375" customWidth="1"/>
    <col min="69" max="72" width="10.6640625" customWidth="1"/>
    <col min="73" max="73" width="10.44140625" customWidth="1"/>
    <col min="74" max="74" width="5.6640625" customWidth="1"/>
    <col min="76" max="76" width="15.77734375" style="1" customWidth="1"/>
    <col min="77" max="77" width="9.44140625" customWidth="1"/>
    <col min="78" max="78" width="25.33203125" customWidth="1"/>
    <col min="86" max="86" width="9.44140625" customWidth="1"/>
    <col min="87" max="87" width="25.33203125" customWidth="1"/>
  </cols>
  <sheetData>
    <row r="1" spans="1:76" ht="14.25" customHeight="1">
      <c r="B1" s="7"/>
      <c r="C1" s="6"/>
      <c r="D1" s="6"/>
      <c r="E1" s="6"/>
      <c r="F1" s="6"/>
      <c r="K1" s="7"/>
      <c r="L1" s="7"/>
      <c r="M1" s="7"/>
      <c r="N1" s="7"/>
      <c r="O1" s="7"/>
      <c r="P1" s="7"/>
      <c r="Q1" s="7"/>
      <c r="X1" s="21"/>
      <c r="Y1" s="6"/>
      <c r="Z1" s="8" t="s">
        <v>21</v>
      </c>
      <c r="AA1" s="8" t="s">
        <v>20</v>
      </c>
      <c r="AB1" s="8">
        <f>Date_Control!$C$21</f>
        <v>2021</v>
      </c>
      <c r="AC1" s="8">
        <f>Date_Control!$C$20</f>
        <v>2022</v>
      </c>
      <c r="AD1" s="8">
        <f>Date_Control!$C$19</f>
        <v>2023</v>
      </c>
      <c r="AE1" s="8">
        <f>Date_Control!$C$18</f>
        <v>2024</v>
      </c>
      <c r="AF1" s="8">
        <f>Date_Control!$C$17</f>
        <v>2025</v>
      </c>
      <c r="AG1" s="8">
        <f>Date_Control!$C$16</f>
        <v>2026</v>
      </c>
      <c r="AI1" s="12" t="s">
        <v>21</v>
      </c>
      <c r="AJ1" s="12" t="s">
        <v>20</v>
      </c>
      <c r="AK1" s="12">
        <f>Date_Control!$C$21</f>
        <v>2021</v>
      </c>
      <c r="AL1" s="12">
        <f>Date_Control!$C$20</f>
        <v>2022</v>
      </c>
      <c r="AM1" s="12">
        <f>Date_Control!$C$19</f>
        <v>2023</v>
      </c>
      <c r="AN1" s="12">
        <f>Date_Control!$C$18</f>
        <v>2024</v>
      </c>
      <c r="AO1" s="12">
        <f>Date_Control!$C$17</f>
        <v>2025</v>
      </c>
      <c r="AP1" s="12">
        <f>Date_Control!$C$16</f>
        <v>2026</v>
      </c>
      <c r="AQ1" s="6"/>
      <c r="BX1"/>
    </row>
    <row r="2" spans="1:76" s="10" customFormat="1" ht="19.2" customHeight="1">
      <c r="A2" s="9"/>
      <c r="B2" s="169" t="str">
        <f>Date_Control!$B$4</f>
        <v>JULY 2026</v>
      </c>
      <c r="C2" s="4"/>
      <c r="D2" s="118" t="str">
        <f>IF(Main_Page!$C$10="Click Here to Select District", "No District Selected", $AA$2)</f>
        <v>No District Selected</v>
      </c>
      <c r="E2" s="4"/>
      <c r="F2" s="56" t="str">
        <f>IF(Main_Page!$C$10="Click Here to Select District", "No District Selected", $AA$2)</f>
        <v>No District Selected</v>
      </c>
      <c r="H2" s="22" t="str">
        <f>IF(Main_Page!$C$10="Click Here to Select District", "No District Selected", $AA$2)</f>
        <v>No District Selected</v>
      </c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37"/>
      <c r="Y2" s="4"/>
      <c r="Z2" s="38" t="str">
        <f t="array" ref="Z2">IFERROR(INDEX(Personnel1a[Unit],SMALL(IF(Personnel1a[Unit]=$BD$3,ROW(Personnel1a[])-MIN(ROW(Personnel1a[]))+1),AH2)), "")</f>
        <v/>
      </c>
      <c r="AA2" s="39" t="e">
        <f t="array" ref="AA2">INDEX(Personnel1a[Name],SMALL(IF(Personnel1a[Unit]=$BD$3,ROW(Personnel1a[])-MIN(ROW(Personnel1a[]))+1),AH2))</f>
        <v>#NUM!</v>
      </c>
      <c r="AB2" s="40" t="str">
        <f t="array" ref="AB2">IFERROR(INDEX(Personnel1a[Column1],SMALL(IF(Personnel1a[Unit]=$BD$3,ROW(Personnel1a[])-MIN(ROW(Personnel1a[]))+1),AH2)), "")</f>
        <v/>
      </c>
      <c r="AC2" s="40" t="str">
        <f t="array" ref="AC2">IFERROR(INDEX(Personnel1a[Column2],SMALL(IF(Personnel1a[Unit]=$BD$3,ROW(Personnel1a[])-MIN(ROW(Personnel1a[]))+1),AH2)), "")</f>
        <v/>
      </c>
      <c r="AD2" s="40" t="str">
        <f t="array" ref="AD2">IFERROR(INDEX(Personnel1a[Column3],SMALL(IF(Personnel1a[Unit]=$BD$3,ROW(Personnel1a[])-MIN(ROW(Personnel1a[]))+1),AH2)), "")</f>
        <v/>
      </c>
      <c r="AE2" s="40" t="str">
        <f t="array" ref="AE2">IFERROR(INDEX(Personnel1a[Column4],SMALL(IF(Personnel1a[Unit]=$BD$3,ROW(Personnel1a[])-MIN(ROW(Personnel1a[]))+1),AH2)), "")</f>
        <v/>
      </c>
      <c r="AF2" s="40" t="str">
        <f t="array" ref="AF2">IFERROR(INDEX(Personnel1a[Column5],SMALL(IF(Personnel1a[Unit]=$BD$3,ROW(Personnel1a[])-MIN(ROW(Personnel1a[]))+1),AH2)), "")</f>
        <v/>
      </c>
      <c r="AG2" s="40" t="str">
        <f t="array" ref="AG2">IFERROR(INDEX(Personnel1a[Column6],SMALL(IF(Personnel1a[Unit]=$BD$3,ROW(Personnel1a[])-MIN(ROW(Personnel1a[]))+1),AH2)), "")</f>
        <v/>
      </c>
      <c r="AH2" s="41">
        <v>1</v>
      </c>
      <c r="AI2" s="42" t="str">
        <f t="array" ref="AI2">IFERROR(INDEX(Support1b1018[Unit],SMALL(IF(Support1b1018[Unit]=$BD$3,ROW(Support1b1018[])-MIN(ROW(Support1b1018[]))+1),AH2)), "")</f>
        <v/>
      </c>
      <c r="AJ2" s="42" t="str">
        <f t="array" ref="AJ2">IFERROR(INDEX(Support1b1018[Name],SMALL(IF(Support1b1018[Unit]=$BD$3,ROW(Support1b1018[])-MIN(ROW(Support1b1018[]))+1),AH2)), "")</f>
        <v/>
      </c>
      <c r="AK2" s="43" t="str">
        <f t="array" ref="AK2">IFERROR(INDEX(Support1b1018[Column1],SMALL(IF(Support1b1018[Unit]=$BD$3,ROW(Support1b1018[])-MIN(ROW(Support1b1018[]))+1),AH2)), "")</f>
        <v/>
      </c>
      <c r="AL2" s="43" t="str">
        <f t="array" ref="AL2">IFERROR(INDEX(Support1b1018[Column2],SMALL(IF(Support1b1018[Unit]=$BD$3,ROW(Support1b1018[])-MIN(ROW(Support1b1018[]))+1),AH2)), "")</f>
        <v/>
      </c>
      <c r="AM2" s="43" t="str">
        <f t="array" ref="AM2">IFERROR(INDEX(Support1b1018[Column3],SMALL(IF(Support1b1018[Unit]=$BD$3,ROW(Support1b1018[])-MIN(ROW(Support1b1018[]))+1),AH2)), "")</f>
        <v/>
      </c>
      <c r="AN2" s="43" t="str">
        <f t="array" ref="AN2">IFERROR(INDEX(Support1b1018[Column4],SMALL(IF(Support1b1018[Unit]=$BD$3,ROW(Support1b1018[])-MIN(ROW(Support1b1018[]))+1),AH2)), "")</f>
        <v/>
      </c>
      <c r="AO2" s="43" t="str">
        <f t="array" ref="AO2">IFERROR(INDEX(Support1b1018[Column5],SMALL(IF(Support1b1018[Unit]=$BD$3,ROW(Support1b1018[])-MIN(ROW(Support1b1018[]))+1),AH2)), "")</f>
        <v/>
      </c>
      <c r="AP2" s="43" t="str">
        <f t="array" ref="AP2">IFERROR(INDEX(Support1b1018[Column6],SMALL(IF(Support1b1018[Unit]=$BD$3,ROW(Support1b1018[])-MIN(ROW(Support1b1018[]))+1),AH2)), "")</f>
        <v/>
      </c>
      <c r="AQ2" s="4"/>
      <c r="AR2" s="4"/>
      <c r="AS2"/>
      <c r="AT2" s="32">
        <f>Date_Control!$C$21</f>
        <v>2021</v>
      </c>
      <c r="AU2" s="32">
        <f>Date_Control!$C$20</f>
        <v>2022</v>
      </c>
      <c r="AV2" s="32">
        <f>Date_Control!$C$19</f>
        <v>2023</v>
      </c>
      <c r="AW2" s="32">
        <f>Date_Control!$C$18</f>
        <v>2024</v>
      </c>
      <c r="AX2" s="32">
        <f>Date_Control!$C$17</f>
        <v>2025</v>
      </c>
      <c r="AY2" s="32">
        <f>Date_Control!$C$16</f>
        <v>2026</v>
      </c>
      <c r="AZ2"/>
      <c r="BA2"/>
      <c r="BD2" s="44">
        <f>IF($BL1="T", MAX(BD8:BD103), 0)</f>
        <v>0</v>
      </c>
      <c r="BE2" s="44">
        <f>IF($BL1="T", MAX(BE8:BE103), 0)</f>
        <v>0</v>
      </c>
      <c r="BF2" s="44">
        <f t="shared" ref="BF2:BU2" si="0">IF($BL1="T", MAX(BF4:BF103), 0)</f>
        <v>0</v>
      </c>
      <c r="BJ2" s="44">
        <f t="shared" si="0"/>
        <v>0</v>
      </c>
      <c r="BK2" s="44">
        <f t="shared" si="0"/>
        <v>0</v>
      </c>
      <c r="BL2" s="44">
        <f t="shared" si="0"/>
        <v>0</v>
      </c>
      <c r="BM2" s="44">
        <f t="shared" si="0"/>
        <v>0</v>
      </c>
      <c r="BN2" s="44">
        <f t="shared" si="0"/>
        <v>0</v>
      </c>
      <c r="BQ2"/>
      <c r="BR2"/>
      <c r="BS2"/>
      <c r="BT2" s="44">
        <f t="shared" si="0"/>
        <v>0</v>
      </c>
      <c r="BU2" s="44">
        <f t="shared" si="0"/>
        <v>0</v>
      </c>
      <c r="BX2"/>
    </row>
    <row r="3" spans="1:76" ht="14.55" customHeight="1">
      <c r="B3" s="170"/>
      <c r="C3" s="7"/>
      <c r="D3" s="7"/>
      <c r="E3" s="7"/>
      <c r="F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21"/>
      <c r="Y3" s="7"/>
      <c r="Z3" s="38" t="str">
        <f t="array" ref="Z3">IFERROR(INDEX(Support2a1119[Unit],SMALL(IF(Support2a1119[Unit]=$BD$3,ROW(Support2a1119[])-MIN(ROW(Support2a1119[]))+1),AH3)), "")</f>
        <v/>
      </c>
      <c r="AA3" s="39" t="e">
        <f t="array" ref="AA3">INDEX(Support2a1119[Name],SMALL(IF(Support2a1119[Unit]=$BD$3,ROW(Support2a1119[])-MIN(ROW(Support2a1119[]))+1),AH3))</f>
        <v>#NUM!</v>
      </c>
      <c r="AB3" s="40" t="str">
        <f t="array" ref="AB3">IFERROR(INDEX(Support2a1119[Column1],SMALL(IF(Support2a1119[Unit]=$BD$3,ROW(Support2a1119[])-MIN(ROW(Support2a1119[]))+1),AH3)), "")</f>
        <v/>
      </c>
      <c r="AC3" s="40" t="str">
        <f t="array" ref="AC3">IFERROR(INDEX(Support2a1119[Column2],SMALL(IF(Support2a1119[Unit]=$BD$3,ROW(Support2a1119[])-MIN(ROW(Support2a1119[]))+1),AH3)), "")</f>
        <v/>
      </c>
      <c r="AD3" s="40" t="str">
        <f t="array" ref="AD3">IFERROR(INDEX(Support2a1119[Column3],SMALL(IF(Support2a1119[Unit]=$BD$3,ROW(Support2a1119[])-MIN(ROW(Support2a1119[]))+1),AH3)), "")</f>
        <v/>
      </c>
      <c r="AE3" s="40" t="str">
        <f t="array" ref="AE3">IFERROR(INDEX(Support2a1119[Column4],SMALL(IF(Support2a1119[Unit]=$BD$3,ROW(Support2a1119[])-MIN(ROW(Support2a1119[]))+1),AH3)), "")</f>
        <v/>
      </c>
      <c r="AF3" s="40" t="str">
        <f t="array" ref="AF3">IFERROR(INDEX(Support2a1119[Column5],SMALL(IF(Support2a1119[Unit]=$BD$3,ROW(Support2a1119[])-MIN(ROW(Support2a1119[]))+1),AH3)), "")</f>
        <v/>
      </c>
      <c r="AG3" s="40" t="str">
        <f t="array" ref="AG3">IFERROR(INDEX(Support2a1119[Column6],SMALL(IF(Support2a1119[Unit]=$BD$3,ROW(Support2a1119[])-MIN(ROW(Support2a1119[]))+1),AH3)), "")</f>
        <v/>
      </c>
      <c r="AH3" s="41">
        <v>1</v>
      </c>
      <c r="AI3" s="42" t="str">
        <f t="array" ref="AI3">IFERROR(INDEX(Support2b1220[Unit],SMALL(IF(Support2b1220[Unit]=$BD$3,ROW(Support2b1220[])-MIN(ROW(Support2b1220[]))+1),AH3)), "")</f>
        <v/>
      </c>
      <c r="AJ3" s="42" t="str">
        <f t="array" ref="AJ3">IFERROR(INDEX(Support2b1220[Name],SMALL(IF(Support2b1220[Unit]=$BD$3,ROW(Support2b1220[])-MIN(ROW(Support2b1220[]))+1),AH3)), "")</f>
        <v/>
      </c>
      <c r="AK3" s="43" t="str">
        <f t="array" ref="AK3">IFERROR(INDEX(Support2b1220[Column1],SMALL(IF(Support2b1220[Unit]=$BD$3,ROW(Support2b1220[])-MIN(ROW(Support2b1220[]))+1),AH3)), "")</f>
        <v/>
      </c>
      <c r="AL3" s="43" t="str">
        <f t="array" ref="AL3">IFERROR(INDEX(Support2b1220[Column2],SMALL(IF(Support2b1220[Unit]=$BD$3,ROW(Support2b1220[])-MIN(ROW(Support2b1220[]))+1),AH3)), "")</f>
        <v/>
      </c>
      <c r="AM3" s="43" t="str">
        <f t="array" ref="AM3">IFERROR(INDEX(Support2b1220[Column3],SMALL(IF(Support2b1220[Unit]=$BD$3,ROW(Support2b1220[])-MIN(ROW(Support2b1220[]))+1),AH3)), "")</f>
        <v/>
      </c>
      <c r="AN3" s="43" t="str">
        <f t="array" ref="AN3">IFERROR(INDEX(Support2b1220[Column4],SMALL(IF(Support2b1220[Unit]=$BD$3,ROW(Support2b1220[])-MIN(ROW(Support2b1220[]))+1),AH3)), "")</f>
        <v/>
      </c>
      <c r="AO3" s="43" t="str">
        <f t="array" ref="AO3">IFERROR(INDEX(Support2b1220[Column5],SMALL(IF(Support2b1220[Unit]=$BD$3,ROW(Support2b1220[])-MIN(ROW(Support2b1220[]))+1),AH3)), "")</f>
        <v/>
      </c>
      <c r="AP3" s="43" t="str">
        <f t="array" ref="AP3">IFERROR(INDEX(Support2b1220[Column6],SMALL(IF(Support2b1220[Unit]=$BD$3,ROW(Support2b1220[])-MIN(ROW(Support2b1220[]))+1),AH3)), "")</f>
        <v/>
      </c>
      <c r="AQ3" s="7"/>
      <c r="AR3" t="s">
        <v>32</v>
      </c>
      <c r="AS3" s="59" t="s">
        <v>16</v>
      </c>
      <c r="AT3" s="17" t="str">
        <f t="shared" ref="AT3:AY3" si="1">AB2</f>
        <v/>
      </c>
      <c r="AU3" s="17" t="str">
        <f t="shared" si="1"/>
        <v/>
      </c>
      <c r="AV3" s="17" t="str">
        <f t="shared" si="1"/>
        <v/>
      </c>
      <c r="AW3" s="17" t="str">
        <f t="shared" si="1"/>
        <v/>
      </c>
      <c r="AX3" s="17" t="str">
        <f t="shared" si="1"/>
        <v/>
      </c>
      <c r="AY3" s="17" t="str">
        <f t="shared" si="1"/>
        <v/>
      </c>
      <c r="BB3" s="161" t="s">
        <v>47</v>
      </c>
      <c r="BC3" s="164"/>
      <c r="BD3" s="162" t="str">
        <f>LEFT(Main_Page!$C$10,3)</f>
        <v>Cli</v>
      </c>
      <c r="BX3"/>
    </row>
    <row r="4" spans="1:76" ht="14.55" customHeight="1">
      <c r="X4" s="21"/>
      <c r="Z4" s="38" t="str">
        <f t="array" ref="Z4">IFERROR(INDEX(Support3a1321[Unit],SMALL(IF(Support3a1321[Unit]=$BD$3,ROW(Support3a1321[])-MIN(ROW(Support3a1321[]))+1),AH4)), "")</f>
        <v/>
      </c>
      <c r="AA4" s="39" t="e">
        <f t="array" ref="AA4">INDEX(Support3a1321[Name],SMALL(IF(Support3a1321[Unit]=$BD$3,ROW(Support3a1321[])-MIN(ROW(Support3a1321[]))+1),AH4))</f>
        <v>#NUM!</v>
      </c>
      <c r="AB4" s="40" t="str">
        <f t="array" ref="AB4">IFERROR(INDEX(Support3a1321[Column1],SMALL(IF(Support3a1321[Unit]=$BD$3,ROW(Support3a1321[])-MIN(ROW(Support3a1321[]))+1),AH4)), "")</f>
        <v/>
      </c>
      <c r="AC4" s="40" t="str">
        <f t="array" ref="AC4">IFERROR(INDEX(Support3a1321[Column2],SMALL(IF(Support3a1321[Unit]=$BD$3,ROW(Support3a1321[])-MIN(ROW(Support3a1321[]))+1),AH4)), "")</f>
        <v/>
      </c>
      <c r="AD4" s="40" t="str">
        <f t="array" ref="AD4">IFERROR(INDEX(Support3a1321[Column3],SMALL(IF(Support3a1321[Unit]=$BD$3,ROW(Support3a1321[])-MIN(ROW(Support3a1321[]))+1),AH4)), "")</f>
        <v/>
      </c>
      <c r="AE4" s="40" t="str">
        <f t="array" ref="AE4">IFERROR(INDEX(Support3a1321[Column4],SMALL(IF(Support3a1321[Unit]=$BD$3,ROW(Support3a1321[])-MIN(ROW(Support3a1321[]))+1),AH4)), "")</f>
        <v/>
      </c>
      <c r="AF4" s="40" t="str">
        <f t="array" ref="AF4">IFERROR(INDEX(Support3a1321[Column5],SMALL(IF(Support3a1321[Unit]=$BD$3,ROW(Support3a1321[])-MIN(ROW(Support3a1321[]))+1),AH4)), "")</f>
        <v/>
      </c>
      <c r="AG4" s="40" t="str">
        <f t="array" ref="AG4">IFERROR(INDEX(Support3a1321[Column6],SMALL(IF(Support3a1321[Unit]=$BD$3,ROW(Support3a1321[])-MIN(ROW(Support3a1321[]))+1),AH4)), "")</f>
        <v/>
      </c>
      <c r="AH4" s="41">
        <v>1</v>
      </c>
      <c r="AI4" s="42" t="str">
        <f t="array" ref="AI4">IFERROR(INDEX(Support3b1422[Unit],SMALL(IF(Support3b1422[Unit]=$BD$3,ROW(Support3b1422[])-MIN(ROW(Support3b1422[]))+1),AH4)), "")</f>
        <v/>
      </c>
      <c r="AJ4" s="42" t="str">
        <f t="array" ref="AJ4">IFERROR(INDEX(Support3b1422[Name],SMALL(IF(Support3b1422[Unit]=$BD$3,ROW(Support3b1422[])-MIN(ROW(Support3b1422[]))+1),AH4)), "")</f>
        <v/>
      </c>
      <c r="AK4" s="43" t="str">
        <f t="array" ref="AK4">IFERROR(INDEX(Support3b1422[Column1],SMALL(IF(Support3b1422[Unit]=$BD$3,ROW(Support3b1422[])-MIN(ROW(Support3b1422[]))+1),AH4)), "")</f>
        <v/>
      </c>
      <c r="AL4" s="43" t="str">
        <f t="array" ref="AL4">IFERROR(INDEX(Support3b1422[Column2],SMALL(IF(Support3b1422[Unit]=$BD$3,ROW(Support3b1422[])-MIN(ROW(Support3b1422[]))+1),AH4)), "")</f>
        <v/>
      </c>
      <c r="AM4" s="43" t="str">
        <f t="array" ref="AM4">IFERROR(INDEX(Support3b1422[Column3],SMALL(IF(Support3b1422[Unit]=$BD$3,ROW(Support3b1422[])-MIN(ROW(Support3b1422[]))+1),AH4)), "")</f>
        <v/>
      </c>
      <c r="AN4" s="43" t="str">
        <f t="array" ref="AN4">IFERROR(INDEX(Support3b1422[Column4],SMALL(IF(Support3b1422[Unit]=$BD$3,ROW(Support3b1422[])-MIN(ROW(Support3b1422[]))+1),AH4)), "")</f>
        <v/>
      </c>
      <c r="AO4" s="43" t="str">
        <f t="array" ref="AO4">IFERROR(INDEX(Support3b1422[Column5],SMALL(IF(Support3b1422[Unit]=$BD$3,ROW(Support3b1422[])-MIN(ROW(Support3b1422[]))+1),AH4)), "")</f>
        <v/>
      </c>
      <c r="AP4" s="43" t="str">
        <f t="array" ref="AP4">IFERROR(INDEX(Support3b1422[Column6],SMALL(IF(Support3b1422[Unit]=$BD$3,ROW(Support3b1422[])-MIN(ROW(Support3b1422[]))+1),AH4)), "")</f>
        <v/>
      </c>
      <c r="AS4" s="59" t="s">
        <v>17</v>
      </c>
      <c r="AT4" s="17" t="str">
        <f t="shared" ref="AT4:AY4" si="2">AK2</f>
        <v/>
      </c>
      <c r="AU4" s="17" t="str">
        <f t="shared" si="2"/>
        <v/>
      </c>
      <c r="AV4" s="17" t="str">
        <f t="shared" si="2"/>
        <v/>
      </c>
      <c r="AW4" s="17" t="str">
        <f t="shared" si="2"/>
        <v/>
      </c>
      <c r="AX4" s="17" t="str">
        <f t="shared" si="2"/>
        <v/>
      </c>
      <c r="AY4" s="17" t="str">
        <f t="shared" si="2"/>
        <v/>
      </c>
      <c r="BB4" s="161"/>
      <c r="BC4" s="164"/>
      <c r="BD4" s="163"/>
      <c r="BX4"/>
    </row>
    <row r="5" spans="1:76" ht="14.55" customHeight="1">
      <c r="B5" s="53" t="str">
        <f>CONCATENATE("Membership levels reflect the first day of ", Date_Control!B10)</f>
        <v>Membership levels reflect the first day of July</v>
      </c>
      <c r="X5" s="21"/>
      <c r="Z5" s="120" t="str">
        <f t="array" ref="Z5">IFERROR(INDEX(Support4a1523[Unit],SMALL(IF(Support4a1523[Unit]=$BD$3,ROW(Support4a1523[])-MIN(ROW(Support4a1523[]))+1),AH5)), "")</f>
        <v/>
      </c>
      <c r="AA5" s="121" t="e">
        <f t="array" ref="AA5">INDEX(Support4a1523[Name],SMALL(IF(Support4a1523[Unit]=$BD$3,ROW(Support4a1523[])-MIN(ROW(Support4a1523[]))+1),AH5))</f>
        <v>#NUM!</v>
      </c>
      <c r="AB5" s="122" t="str">
        <f t="array" ref="AB5">IFERROR(INDEX(Support4a1523[Column1],SMALL(IF(Support4a1523[Unit]=$BD$3,ROW(Support4a1523[])-MIN(ROW(Support4a1523[]))+1),AH5)), "")</f>
        <v/>
      </c>
      <c r="AC5" s="122" t="str">
        <f t="array" ref="AC5">IFERROR(INDEX(Support4a1523[Column2],SMALL(IF(Support4a1523[Unit]=$BD$3,ROW(Support4a1523[])-MIN(ROW(Support4a1523[]))+1),AH5)), "")</f>
        <v/>
      </c>
      <c r="AD5" s="122" t="str">
        <f t="array" ref="AD5">IFERROR(INDEX(Support4a1523[Column3],SMALL(IF(Support4a1523[Unit]=$BD$3,ROW(Support4a1523[])-MIN(ROW(Support4a1523[]))+1),AH5)), "")</f>
        <v/>
      </c>
      <c r="AE5" s="122" t="str">
        <f t="array" ref="AE5">IFERROR(INDEX(Support4a1523[Column4],SMALL(IF(Support4a1523[Unit]=$BD$3,ROW(Support4a1523[])-MIN(ROW(Support4a1523[]))+1),AH5)), "")</f>
        <v/>
      </c>
      <c r="AF5" s="122" t="str">
        <f t="array" ref="AF5">IFERROR(INDEX(Support4a1523[Column5],SMALL(IF(Support4a1523[Unit]=$BD$3,ROW(Support4a1523[])-MIN(ROW(Support4a1523[]))+1),AH5)), "")</f>
        <v/>
      </c>
      <c r="AG5" s="122" t="str">
        <f t="array" ref="AG5">IFERROR(INDEX(Support4a1523[Column6],SMALL(IF(Support4a1523[Unit]=$BD$3,ROW(Support4a1523[])-MIN(ROW(Support4a1523[]))+1),AH5)), "")</f>
        <v/>
      </c>
      <c r="AH5" s="41">
        <v>1</v>
      </c>
      <c r="AI5" s="120" t="str">
        <f t="array" ref="AI5">IFERROR(INDEX(Support4b1624[Unit],SMALL(IF(Support4b1624[Unit]=$BD$3,ROW(Support4b1624[])-MIN(ROW(Support4b1624[]))+1),AH5)), "")</f>
        <v/>
      </c>
      <c r="AJ5" s="120" t="str">
        <f t="array" ref="AJ5">IFERROR(INDEX(Support4b1624[Name],SMALL(IF(Support4b1624[Unit]=$BD$3,ROW(Support4b1624[])-MIN(ROW(Support4b1624[]))+1),AH5)), "")</f>
        <v/>
      </c>
      <c r="AK5" s="122" t="str">
        <f t="array" ref="AK5">IFERROR(INDEX(Support4b1624[Column1],SMALL(IF(Support4b1624[Unit]=$BD$3,ROW(Support4b1624[])-MIN(ROW(Support4b1624[]))+1),AH5)), "")</f>
        <v/>
      </c>
      <c r="AL5" s="122" t="str">
        <f t="array" ref="AL5">IFERROR(INDEX(Support4b1624[Column2],SMALL(IF(Support4b1624[Unit]=$BD$3,ROW(Support4b1624[])-MIN(ROW(Support4b1624[]))+1),AH5)), "")</f>
        <v/>
      </c>
      <c r="AM5" s="122" t="str">
        <f t="array" ref="AM5">IFERROR(INDEX(Support4b1624[Column3],SMALL(IF(Support4b1624[Unit]=$BD$3,ROW(Support4b1624[])-MIN(ROW(Support4b1624[]))+1),AH5)), "")</f>
        <v/>
      </c>
      <c r="AN5" s="122" t="str">
        <f t="array" ref="AN5">IFERROR(INDEX(Support4b1624[Column4],SMALL(IF(Support4b1624[Unit]=$BD$3,ROW(Support4b1624[])-MIN(ROW(Support4b1624[]))+1),AH5)), "")</f>
        <v/>
      </c>
      <c r="AO5" s="122" t="str">
        <f t="array" ref="AO5">IFERROR(INDEX(Support4b1624[Column5],SMALL(IF(Support4b1624[Unit]=$BD$3,ROW(Support4b1624[])-MIN(ROW(Support4b1624[]))+1),AH5)), "")</f>
        <v/>
      </c>
      <c r="AP5" s="122" t="str">
        <f t="array" ref="AP5">IFERROR(INDEX(Support4b1624[Column6],SMALL(IF(Support4b1624[Unit]=$BD$3,ROW(Support4b1624[])-MIN(ROW(Support4b1624[]))+1),AH5)), "")</f>
        <v/>
      </c>
      <c r="AS5" s="59"/>
      <c r="AT5" s="32">
        <f>Date_Control!$C$21</f>
        <v>2021</v>
      </c>
      <c r="AU5" s="32">
        <f>Date_Control!$C$20</f>
        <v>2022</v>
      </c>
      <c r="AV5" s="32">
        <f>Date_Control!$C$19</f>
        <v>2023</v>
      </c>
      <c r="AW5" s="32">
        <f>Date_Control!$C$18</f>
        <v>2024</v>
      </c>
      <c r="AX5" s="32">
        <f>Date_Control!$C$17</f>
        <v>2025</v>
      </c>
      <c r="AY5" s="32">
        <f>Date_Control!$C$16</f>
        <v>2026</v>
      </c>
      <c r="BX5"/>
    </row>
    <row r="6" spans="1:76" ht="14.55" customHeight="1">
      <c r="B6" s="53" t="s">
        <v>77</v>
      </c>
      <c r="X6" s="21"/>
      <c r="AR6" t="s">
        <v>33</v>
      </c>
      <c r="AS6" s="59" t="s">
        <v>16</v>
      </c>
      <c r="AT6" s="17" t="str">
        <f t="shared" ref="AT6:AY6" si="3">AB3</f>
        <v/>
      </c>
      <c r="AU6" s="17" t="str">
        <f t="shared" si="3"/>
        <v/>
      </c>
      <c r="AV6" s="17" t="str">
        <f t="shared" si="3"/>
        <v/>
      </c>
      <c r="AW6" s="17" t="str">
        <f t="shared" si="3"/>
        <v/>
      </c>
      <c r="AX6" s="17" t="str">
        <f t="shared" si="3"/>
        <v/>
      </c>
      <c r="AY6" s="17" t="str">
        <f t="shared" si="3"/>
        <v/>
      </c>
      <c r="BX6"/>
    </row>
    <row r="7" spans="1:76" ht="14.55" customHeight="1">
      <c r="B7" s="53"/>
      <c r="X7" s="21"/>
      <c r="AS7" s="59" t="s">
        <v>17</v>
      </c>
      <c r="AT7" s="17" t="str">
        <f t="shared" ref="AT7:AY7" si="4">AK3</f>
        <v/>
      </c>
      <c r="AU7" s="17" t="str">
        <f t="shared" si="4"/>
        <v/>
      </c>
      <c r="AV7" s="17" t="str">
        <f t="shared" si="4"/>
        <v/>
      </c>
      <c r="AW7" s="17" t="str">
        <f t="shared" si="4"/>
        <v/>
      </c>
      <c r="AX7" s="17" t="str">
        <f t="shared" si="4"/>
        <v/>
      </c>
      <c r="AY7" s="17" t="str">
        <f t="shared" si="4"/>
        <v/>
      </c>
      <c r="BX7"/>
    </row>
    <row r="8" spans="1:76" ht="14.55" customHeight="1">
      <c r="B8" s="53"/>
      <c r="X8" s="21"/>
      <c r="AS8" s="59"/>
      <c r="AT8" s="32">
        <f>Date_Control!$C$21</f>
        <v>2021</v>
      </c>
      <c r="AU8" s="32">
        <f>Date_Control!$C$20</f>
        <v>2022</v>
      </c>
      <c r="AV8" s="32">
        <f>Date_Control!$C$19</f>
        <v>2023</v>
      </c>
      <c r="AW8" s="32">
        <f>Date_Control!$C$18</f>
        <v>2024</v>
      </c>
      <c r="AX8" s="32">
        <f>Date_Control!$C$17</f>
        <v>2025</v>
      </c>
      <c r="AY8" s="32">
        <f>Date_Control!$C$16</f>
        <v>2026</v>
      </c>
      <c r="BX8"/>
    </row>
    <row r="9" spans="1:76" ht="14.55" customHeight="1">
      <c r="B9" s="53" t="s">
        <v>19</v>
      </c>
      <c r="X9" s="21"/>
      <c r="AR9" t="s">
        <v>34</v>
      </c>
      <c r="AS9" s="59" t="s">
        <v>16</v>
      </c>
      <c r="AT9" s="17" t="str">
        <f>AB4</f>
        <v/>
      </c>
      <c r="AU9" s="17" t="str">
        <f t="shared" ref="AU9:AY9" si="5">AC4</f>
        <v/>
      </c>
      <c r="AV9" s="17" t="str">
        <f t="shared" si="5"/>
        <v/>
      </c>
      <c r="AW9" s="17" t="str">
        <f t="shared" si="5"/>
        <v/>
      </c>
      <c r="AX9" s="17" t="str">
        <f t="shared" si="5"/>
        <v/>
      </c>
      <c r="AY9" s="17" t="str">
        <f t="shared" si="5"/>
        <v/>
      </c>
      <c r="BX9"/>
    </row>
    <row r="10" spans="1:76" ht="14.55" customHeight="1">
      <c r="X10" s="21"/>
      <c r="AS10" s="59" t="s">
        <v>17</v>
      </c>
      <c r="AT10" s="17" t="str">
        <f>AK4</f>
        <v/>
      </c>
      <c r="AU10" s="17" t="str">
        <f t="shared" ref="AU10:AY10" si="6">AL4</f>
        <v/>
      </c>
      <c r="AV10" s="17" t="str">
        <f t="shared" si="6"/>
        <v/>
      </c>
      <c r="AW10" s="17" t="str">
        <f t="shared" si="6"/>
        <v/>
      </c>
      <c r="AX10" s="17" t="str">
        <f t="shared" si="6"/>
        <v/>
      </c>
      <c r="AY10" s="17" t="str">
        <f t="shared" si="6"/>
        <v/>
      </c>
      <c r="BX10"/>
    </row>
    <row r="11" spans="1:76" ht="15.45" customHeight="1">
      <c r="B11" s="53" t="s">
        <v>23</v>
      </c>
      <c r="X11" s="21"/>
      <c r="AS11" s="59"/>
      <c r="AT11" s="114">
        <f>Date_Control!$C$21</f>
        <v>2021</v>
      </c>
      <c r="AU11" s="114">
        <f>Date_Control!$C$20</f>
        <v>2022</v>
      </c>
      <c r="AV11" s="114">
        <f>Date_Control!$C$19</f>
        <v>2023</v>
      </c>
      <c r="AW11" s="114">
        <f>Date_Control!$C$18</f>
        <v>2024</v>
      </c>
      <c r="AX11" s="114">
        <f>Date_Control!$C$17</f>
        <v>2025</v>
      </c>
      <c r="AY11" s="114">
        <f>Date_Control!$C$16</f>
        <v>2026</v>
      </c>
      <c r="BX11"/>
    </row>
    <row r="12" spans="1:76" ht="14.55" customHeight="1">
      <c r="X12" s="21"/>
      <c r="AR12" t="s">
        <v>35</v>
      </c>
      <c r="AS12" s="59" t="s">
        <v>16</v>
      </c>
      <c r="AT12" s="17" t="str">
        <f>AB5</f>
        <v/>
      </c>
      <c r="AU12" s="17" t="str">
        <f t="shared" ref="AU12:AY12" si="7">AC5</f>
        <v/>
      </c>
      <c r="AV12" s="17" t="str">
        <f t="shared" si="7"/>
        <v/>
      </c>
      <c r="AW12" s="17" t="str">
        <f t="shared" si="7"/>
        <v/>
      </c>
      <c r="AX12" s="17" t="str">
        <f t="shared" si="7"/>
        <v/>
      </c>
      <c r="AY12" s="17" t="str">
        <f t="shared" si="7"/>
        <v/>
      </c>
      <c r="BX12"/>
    </row>
    <row r="13" spans="1:76" ht="14.55" customHeight="1">
      <c r="X13" s="21"/>
      <c r="AS13" s="59" t="s">
        <v>17</v>
      </c>
      <c r="AT13" s="17" t="str">
        <f>AK5</f>
        <v/>
      </c>
      <c r="AU13" s="17" t="str">
        <f t="shared" ref="AU13:AY13" si="8">AL5</f>
        <v/>
      </c>
      <c r="AV13" s="17" t="str">
        <f t="shared" si="8"/>
        <v/>
      </c>
      <c r="AW13" s="17" t="str">
        <f t="shared" si="8"/>
        <v/>
      </c>
      <c r="AX13" s="17" t="str">
        <f t="shared" si="8"/>
        <v/>
      </c>
      <c r="AY13" s="17" t="str">
        <f t="shared" si="8"/>
        <v/>
      </c>
      <c r="BX13"/>
    </row>
    <row r="14" spans="1:76" ht="14.55" customHeight="1">
      <c r="B14" s="165" t="str">
        <f>IF(Main_Page!C10="Click here to select district", "SELECT DISTRICT ON MAIN PAGE", "")</f>
        <v>SELECT DISTRICT ON MAIN PAGE</v>
      </c>
      <c r="C14" s="166"/>
      <c r="X14" s="21"/>
      <c r="AR14"/>
      <c r="AS14" s="59"/>
      <c r="BX14"/>
    </row>
    <row r="15" spans="1:76" ht="14.55" customHeight="1">
      <c r="B15" s="167"/>
      <c r="C15" s="168"/>
      <c r="X15" s="21"/>
      <c r="Z15" s="161" t="s">
        <v>36</v>
      </c>
      <c r="AA15" s="159" t="s">
        <v>75</v>
      </c>
      <c r="AR15"/>
      <c r="BX15"/>
    </row>
    <row r="16" spans="1:76" ht="14.55" customHeight="1">
      <c r="X16" s="21"/>
      <c r="Z16" s="161"/>
      <c r="AA16" s="160"/>
      <c r="AR16"/>
      <c r="BX16"/>
    </row>
    <row r="17" spans="1:76" ht="14.55" customHeight="1">
      <c r="X17" s="21"/>
      <c r="Z17" s="58"/>
      <c r="AR17"/>
      <c r="BX17"/>
    </row>
    <row r="18" spans="1:76" ht="14.55" customHeight="1">
      <c r="X18" s="21"/>
      <c r="Z18" s="161" t="s">
        <v>38</v>
      </c>
      <c r="AA18" s="159" t="s">
        <v>72</v>
      </c>
      <c r="AD18" t="s">
        <v>31</v>
      </c>
      <c r="AR18"/>
      <c r="BX18"/>
    </row>
    <row r="19" spans="1:76" ht="14.55" customHeight="1">
      <c r="X19" s="21"/>
      <c r="Z19" s="161"/>
      <c r="AA19" s="160"/>
      <c r="AR19"/>
      <c r="BX19"/>
    </row>
    <row r="20" spans="1:76" ht="14.55" customHeight="1">
      <c r="X20" s="37"/>
      <c r="Z20" s="58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R20"/>
      <c r="AZ20" s="10"/>
      <c r="BA20" s="10"/>
      <c r="BB20" s="3" t="s">
        <v>76</v>
      </c>
      <c r="BV20" s="10"/>
      <c r="BX20"/>
    </row>
    <row r="21" spans="1:76" ht="14.55" customHeight="1">
      <c r="X21" s="21"/>
      <c r="Z21" s="161" t="s">
        <v>43</v>
      </c>
      <c r="AA21" s="159" t="s">
        <v>81</v>
      </c>
      <c r="AR21" s="30" t="s">
        <v>21</v>
      </c>
      <c r="AS21" s="30" t="s">
        <v>20</v>
      </c>
      <c r="AT21" s="30" t="s">
        <v>30</v>
      </c>
      <c r="AU21" s="30" t="s">
        <v>22</v>
      </c>
      <c r="AV21" s="30" t="s">
        <v>39</v>
      </c>
      <c r="AW21" s="30" t="s">
        <v>40</v>
      </c>
      <c r="AX21" s="30" t="s">
        <v>41</v>
      </c>
      <c r="AY21" s="30" t="s">
        <v>42</v>
      </c>
      <c r="BA21" s="114" t="s">
        <v>21</v>
      </c>
      <c r="BB21" s="114" t="s">
        <v>20</v>
      </c>
      <c r="BC21" s="114" t="s">
        <v>30</v>
      </c>
      <c r="BD21" s="114" t="s">
        <v>22</v>
      </c>
      <c r="BE21" s="114" t="s">
        <v>39</v>
      </c>
      <c r="BF21" s="114" t="s">
        <v>40</v>
      </c>
      <c r="BG21" s="114" t="s">
        <v>41</v>
      </c>
      <c r="BH21" s="114" t="s">
        <v>42</v>
      </c>
      <c r="BX21"/>
    </row>
    <row r="22" spans="1:76" ht="14.55" customHeight="1">
      <c r="B22" s="53"/>
      <c r="X22" s="21"/>
      <c r="Z22" s="161"/>
      <c r="AA22" s="160"/>
      <c r="AR22" s="30" t="s">
        <v>0</v>
      </c>
      <c r="AS22" s="30" t="s">
        <v>131</v>
      </c>
      <c r="AT22" s="57">
        <f>Personnel_Data!D2</f>
        <v>1958</v>
      </c>
      <c r="AU22" s="57">
        <f>Personnel_Data!E2</f>
        <v>1894</v>
      </c>
      <c r="AV22" s="57">
        <f>Personnel_Data!F2</f>
        <v>1869</v>
      </c>
      <c r="AW22" s="57">
        <f>Personnel_Data!G2</f>
        <v>1832</v>
      </c>
      <c r="AX22" s="57">
        <f>Personnel_Data!H2</f>
        <v>1767</v>
      </c>
      <c r="AY22" s="57">
        <f>Personnel_Data!I2</f>
        <v>1697</v>
      </c>
      <c r="BA22" s="115" t="s">
        <v>0</v>
      </c>
      <c r="BB22" s="115" t="s">
        <v>131</v>
      </c>
      <c r="BC22" s="116">
        <f>Augmentation_Data!M2</f>
        <v>332</v>
      </c>
      <c r="BD22" s="116">
        <f>Augmentation_Data!N2</f>
        <v>1620.05</v>
      </c>
      <c r="BE22" s="116">
        <f>Augmentation_Data!O2</f>
        <v>885</v>
      </c>
      <c r="BF22" s="116">
        <f>Augmentation_Data!P2</f>
        <v>1019.97</v>
      </c>
      <c r="BG22" s="116">
        <f>Augmentation_Data!Q2</f>
        <v>1167.5</v>
      </c>
      <c r="BH22" s="116">
        <f>Augmentation_Data!R2</f>
        <v>826.65</v>
      </c>
      <c r="BX22"/>
    </row>
    <row r="23" spans="1:76" ht="14.55" customHeight="1">
      <c r="B23" s="53"/>
      <c r="X23" s="21"/>
      <c r="Z23" s="58"/>
      <c r="AR23" s="30" t="s">
        <v>1</v>
      </c>
      <c r="AS23" s="30" t="s">
        <v>130</v>
      </c>
      <c r="AT23" s="57">
        <f>Personnel_Data!D3</f>
        <v>2712</v>
      </c>
      <c r="AU23" s="57">
        <f>Personnel_Data!E3</f>
        <v>2624</v>
      </c>
      <c r="AV23" s="57">
        <f>Personnel_Data!F3</f>
        <v>2617</v>
      </c>
      <c r="AW23" s="57">
        <f>Personnel_Data!G3</f>
        <v>2640</v>
      </c>
      <c r="AX23" s="57">
        <f>Personnel_Data!H3</f>
        <v>2579</v>
      </c>
      <c r="AY23" s="57">
        <f>Personnel_Data!I3</f>
        <v>2467</v>
      </c>
      <c r="BA23" s="115" t="s">
        <v>1</v>
      </c>
      <c r="BB23" s="115" t="s">
        <v>130</v>
      </c>
      <c r="BC23" s="116">
        <f>Augmentation_Data!M3</f>
        <v>1753.75</v>
      </c>
      <c r="BD23" s="116">
        <f>Augmentation_Data!N3</f>
        <v>3961.2</v>
      </c>
      <c r="BE23" s="116">
        <f>Augmentation_Data!O3</f>
        <v>2851.39</v>
      </c>
      <c r="BF23" s="116">
        <f>Augmentation_Data!P3</f>
        <v>2425.4499999999998</v>
      </c>
      <c r="BG23" s="116">
        <f>Augmentation_Data!Q3</f>
        <v>2030.8500000000001</v>
      </c>
      <c r="BH23" s="116">
        <f>Augmentation_Data!R3</f>
        <v>1955</v>
      </c>
      <c r="BX23"/>
    </row>
    <row r="24" spans="1:76" ht="14.55" customHeight="1">
      <c r="B24" s="53"/>
      <c r="X24" s="21"/>
      <c r="Z24" s="161" t="s">
        <v>44</v>
      </c>
      <c r="AA24" s="159"/>
      <c r="AR24" s="30" t="s">
        <v>2</v>
      </c>
      <c r="AS24" s="30" t="s">
        <v>132</v>
      </c>
      <c r="AT24" s="57">
        <f>Personnel_Data!D4</f>
        <v>1684</v>
      </c>
      <c r="AU24" s="57">
        <f>Personnel_Data!E4</f>
        <v>1591</v>
      </c>
      <c r="AV24" s="57">
        <f>Personnel_Data!F4</f>
        <v>1485</v>
      </c>
      <c r="AW24" s="57">
        <f>Personnel_Data!G4</f>
        <v>1414</v>
      </c>
      <c r="AX24" s="57">
        <f>Personnel_Data!H4</f>
        <v>1330</v>
      </c>
      <c r="AY24" s="57">
        <f>Personnel_Data!I4</f>
        <v>1249</v>
      </c>
      <c r="BA24" s="115" t="s">
        <v>2</v>
      </c>
      <c r="BB24" s="115" t="s">
        <v>132</v>
      </c>
      <c r="BC24" s="116">
        <f>Augmentation_Data!M4</f>
        <v>38</v>
      </c>
      <c r="BD24" s="116">
        <f>Augmentation_Data!N4</f>
        <v>722.15</v>
      </c>
      <c r="BE24" s="116">
        <f>Augmentation_Data!O4</f>
        <v>3182.25</v>
      </c>
      <c r="BF24" s="116">
        <f>Augmentation_Data!P4</f>
        <v>1966</v>
      </c>
      <c r="BG24" s="116">
        <f>Augmentation_Data!Q4</f>
        <v>1464.2</v>
      </c>
      <c r="BH24" s="116">
        <f>Augmentation_Data!R4</f>
        <v>1909.6200000000001</v>
      </c>
      <c r="BX24"/>
    </row>
    <row r="25" spans="1:76" ht="14.55" customHeight="1">
      <c r="B25" s="53"/>
      <c r="F25" s="123"/>
      <c r="H25" s="123"/>
      <c r="X25" s="21"/>
      <c r="Z25" s="161"/>
      <c r="AA25" s="160"/>
      <c r="AR25" s="30" t="s">
        <v>3</v>
      </c>
      <c r="AS25" s="30" t="s">
        <v>133</v>
      </c>
      <c r="AT25" s="57">
        <f>Personnel_Data!D5</f>
        <v>2175</v>
      </c>
      <c r="AU25" s="57">
        <f>Personnel_Data!E5</f>
        <v>2099</v>
      </c>
      <c r="AV25" s="57">
        <f>Personnel_Data!F5</f>
        <v>2064</v>
      </c>
      <c r="AW25" s="57">
        <f>Personnel_Data!G5</f>
        <v>2106</v>
      </c>
      <c r="AX25" s="57">
        <f>Personnel_Data!H5</f>
        <v>2029</v>
      </c>
      <c r="AY25" s="57">
        <f>Personnel_Data!I5</f>
        <v>1917</v>
      </c>
      <c r="BA25" s="115" t="s">
        <v>3</v>
      </c>
      <c r="BB25" s="115" t="s">
        <v>133</v>
      </c>
      <c r="BC25" s="116">
        <f>Augmentation_Data!M5</f>
        <v>309.5</v>
      </c>
      <c r="BD25" s="116">
        <f>Augmentation_Data!N5</f>
        <v>464.2</v>
      </c>
      <c r="BE25" s="116">
        <f>Augmentation_Data!O5</f>
        <v>1918.0000000000002</v>
      </c>
      <c r="BF25" s="116">
        <f>Augmentation_Data!P5</f>
        <v>991.85</v>
      </c>
      <c r="BG25" s="116">
        <f>Augmentation_Data!Q5</f>
        <v>1468.81</v>
      </c>
      <c r="BH25" s="116">
        <f>Augmentation_Data!R5</f>
        <v>650.25</v>
      </c>
      <c r="BX25"/>
    </row>
    <row r="26" spans="1:76" ht="14.55" customHeight="1">
      <c r="F26" s="123"/>
      <c r="H26" s="123"/>
      <c r="X26" s="21"/>
      <c r="AR26" s="30" t="s">
        <v>4</v>
      </c>
      <c r="AS26" s="30" t="s">
        <v>134</v>
      </c>
      <c r="AT26" s="57">
        <f>Personnel_Data!D6</f>
        <v>4204</v>
      </c>
      <c r="AU26" s="57">
        <f>Personnel_Data!E6</f>
        <v>4101</v>
      </c>
      <c r="AV26" s="57">
        <f>Personnel_Data!F6</f>
        <v>4019</v>
      </c>
      <c r="AW26" s="57">
        <f>Personnel_Data!G6</f>
        <v>3893</v>
      </c>
      <c r="AX26" s="57">
        <f>Personnel_Data!H6</f>
        <v>3725</v>
      </c>
      <c r="AY26" s="57">
        <f>Personnel_Data!I6</f>
        <v>3565</v>
      </c>
      <c r="BA26" s="115" t="s">
        <v>4</v>
      </c>
      <c r="BB26" s="115" t="s">
        <v>134</v>
      </c>
      <c r="BC26" s="116">
        <f>Augmentation_Data!M6</f>
        <v>2228.9899999999998</v>
      </c>
      <c r="BD26" s="116">
        <f>Augmentation_Data!N6</f>
        <v>5674</v>
      </c>
      <c r="BE26" s="116">
        <f>Augmentation_Data!O6</f>
        <v>5214.8700000000008</v>
      </c>
      <c r="BF26" s="116">
        <f>Augmentation_Data!P6</f>
        <v>3662.05</v>
      </c>
      <c r="BG26" s="116">
        <f>Augmentation_Data!Q6</f>
        <v>3532.45</v>
      </c>
      <c r="BH26" s="116">
        <f>Augmentation_Data!R6</f>
        <v>3300.8500000000004</v>
      </c>
      <c r="BX26"/>
    </row>
    <row r="27" spans="1:76" s="10" customFormat="1" ht="19.2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21"/>
      <c r="Y27" s="4"/>
      <c r="Z27"/>
      <c r="AA27"/>
      <c r="AK27"/>
      <c r="AL27"/>
      <c r="AM27"/>
      <c r="AN27"/>
      <c r="AO27"/>
      <c r="AP27"/>
      <c r="AQ27" s="4"/>
      <c r="AR27" s="30" t="s">
        <v>5</v>
      </c>
      <c r="AS27" s="30" t="s">
        <v>135</v>
      </c>
      <c r="AT27" s="57">
        <f>Personnel_Data!D7</f>
        <v>1285</v>
      </c>
      <c r="AU27" s="57">
        <f>Personnel_Data!E7</f>
        <v>1235</v>
      </c>
      <c r="AV27" s="57">
        <f>Personnel_Data!F7</f>
        <v>1169</v>
      </c>
      <c r="AW27" s="57">
        <f>Personnel_Data!G7</f>
        <v>1204</v>
      </c>
      <c r="AX27" s="57">
        <f>Personnel_Data!H7</f>
        <v>1139</v>
      </c>
      <c r="AY27" s="57">
        <f>Personnel_Data!I7</f>
        <v>1120</v>
      </c>
      <c r="AZ27"/>
      <c r="BA27" s="115" t="s">
        <v>5</v>
      </c>
      <c r="BB27" s="115" t="s">
        <v>135</v>
      </c>
      <c r="BC27" s="116">
        <f>Augmentation_Data!M7</f>
        <v>978.27</v>
      </c>
      <c r="BD27" s="116">
        <f>Augmentation_Data!N7</f>
        <v>530.75</v>
      </c>
      <c r="BE27" s="116">
        <f>Augmentation_Data!O7</f>
        <v>747.85</v>
      </c>
      <c r="BF27" s="116">
        <f>Augmentation_Data!P7</f>
        <v>837.5</v>
      </c>
      <c r="BG27" s="116">
        <f>Augmentation_Data!Q7</f>
        <v>1149</v>
      </c>
      <c r="BH27" s="116">
        <f>Augmentation_Data!R7</f>
        <v>780.75</v>
      </c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X27"/>
    </row>
    <row r="28" spans="1:76" ht="14.55" customHeight="1">
      <c r="X28" s="21"/>
      <c r="AR28" s="30" t="s">
        <v>6</v>
      </c>
      <c r="AS28" s="30" t="s">
        <v>136</v>
      </c>
      <c r="AT28" s="57">
        <f>Personnel_Data!D8</f>
        <v>944</v>
      </c>
      <c r="AU28" s="57">
        <f>Personnel_Data!E8</f>
        <v>924</v>
      </c>
      <c r="AV28" s="57">
        <f>Personnel_Data!F8</f>
        <v>944</v>
      </c>
      <c r="AW28" s="57">
        <f>Personnel_Data!G8</f>
        <v>935</v>
      </c>
      <c r="AX28" s="57">
        <f>Personnel_Data!H8</f>
        <v>908</v>
      </c>
      <c r="AY28" s="57">
        <f>Personnel_Data!I8</f>
        <v>853</v>
      </c>
      <c r="BA28" s="115" t="s">
        <v>6</v>
      </c>
      <c r="BB28" s="115" t="s">
        <v>136</v>
      </c>
      <c r="BC28" s="116">
        <f>Augmentation_Data!M8</f>
        <v>994</v>
      </c>
      <c r="BD28" s="116">
        <f>Augmentation_Data!N8</f>
        <v>774.5</v>
      </c>
      <c r="BE28" s="116">
        <f>Augmentation_Data!O8</f>
        <v>303.5</v>
      </c>
      <c r="BF28" s="116">
        <f>Augmentation_Data!P8</f>
        <v>180.5</v>
      </c>
      <c r="BG28" s="116">
        <f>Augmentation_Data!Q8</f>
        <v>396.5</v>
      </c>
      <c r="BH28" s="116">
        <f>Augmentation_Data!R8</f>
        <v>176</v>
      </c>
      <c r="BX28"/>
    </row>
    <row r="29" spans="1:76" ht="14.55" customHeight="1">
      <c r="X29" s="21"/>
      <c r="AR29" s="30" t="s">
        <v>7</v>
      </c>
      <c r="AS29" s="30" t="s">
        <v>137</v>
      </c>
      <c r="AT29" s="57">
        <f>Personnel_Data!D9</f>
        <v>914</v>
      </c>
      <c r="AU29" s="57">
        <f>Personnel_Data!E9</f>
        <v>812</v>
      </c>
      <c r="AV29" s="57">
        <f>Personnel_Data!F9</f>
        <v>858</v>
      </c>
      <c r="AW29" s="57">
        <f>Personnel_Data!G9</f>
        <v>796</v>
      </c>
      <c r="AX29" s="57">
        <f>Personnel_Data!H9</f>
        <v>784</v>
      </c>
      <c r="AY29" s="57">
        <f>Personnel_Data!I9</f>
        <v>778</v>
      </c>
      <c r="BA29" s="115" t="s">
        <v>7</v>
      </c>
      <c r="BB29" s="115" t="s">
        <v>137</v>
      </c>
      <c r="BC29" s="116">
        <f>Augmentation_Data!M9</f>
        <v>822.5</v>
      </c>
      <c r="BD29" s="116">
        <f>Augmentation_Data!N9</f>
        <v>20.5</v>
      </c>
      <c r="BE29" s="116">
        <f>Augmentation_Data!O9</f>
        <v>695</v>
      </c>
      <c r="BF29" s="116">
        <f>Augmentation_Data!P9</f>
        <v>247</v>
      </c>
      <c r="BG29" s="116">
        <f>Augmentation_Data!Q9</f>
        <v>882</v>
      </c>
      <c r="BH29" s="116">
        <f>Augmentation_Data!R9</f>
        <v>775.5</v>
      </c>
      <c r="BX29"/>
    </row>
    <row r="30" spans="1:76" ht="14.55" customHeight="1">
      <c r="X30" s="21"/>
      <c r="Y30" s="6"/>
      <c r="AQ30" s="6"/>
      <c r="AR30" s="30" t="s">
        <v>8</v>
      </c>
      <c r="AS30" s="30" t="s">
        <v>138</v>
      </c>
      <c r="AT30" s="57">
        <f>Personnel_Data!D10</f>
        <v>793</v>
      </c>
      <c r="AU30" s="57">
        <f>Personnel_Data!E10</f>
        <v>759</v>
      </c>
      <c r="AV30" s="57">
        <f>Personnel_Data!F10</f>
        <v>707</v>
      </c>
      <c r="AW30" s="57">
        <f>Personnel_Data!G10</f>
        <v>690</v>
      </c>
      <c r="AX30" s="57">
        <f>Personnel_Data!H10</f>
        <v>673</v>
      </c>
      <c r="AY30" s="57">
        <f>Personnel_Data!I10</f>
        <v>675</v>
      </c>
      <c r="BA30" s="115" t="s">
        <v>8</v>
      </c>
      <c r="BB30" s="115" t="s">
        <v>138</v>
      </c>
      <c r="BC30" s="116">
        <f>Augmentation_Data!M10</f>
        <v>755.95</v>
      </c>
      <c r="BD30" s="116">
        <f>Augmentation_Data!N10</f>
        <v>1774.7500000000002</v>
      </c>
      <c r="BE30" s="116">
        <f>Augmentation_Data!O10</f>
        <v>3119.8199999999997</v>
      </c>
      <c r="BF30" s="116">
        <f>Augmentation_Data!P10</f>
        <v>1468.7</v>
      </c>
      <c r="BG30" s="116">
        <f>Augmentation_Data!Q10</f>
        <v>1523.8</v>
      </c>
      <c r="BH30" s="116">
        <f>Augmentation_Data!R10</f>
        <v>732.66</v>
      </c>
      <c r="BX30"/>
    </row>
    <row r="31" spans="1:76" ht="14.55" customHeight="1">
      <c r="X31" s="21"/>
      <c r="AR31" s="30" t="s">
        <v>9</v>
      </c>
      <c r="AS31" s="30" t="s">
        <v>139</v>
      </c>
      <c r="AT31" s="57">
        <f>Personnel_Data!D11</f>
        <v>647</v>
      </c>
      <c r="AU31" s="57">
        <f>Personnel_Data!E11</f>
        <v>588</v>
      </c>
      <c r="AV31" s="57">
        <f>Personnel_Data!F11</f>
        <v>544</v>
      </c>
      <c r="AW31" s="57">
        <f>Personnel_Data!G11</f>
        <v>510</v>
      </c>
      <c r="AX31" s="57">
        <f>Personnel_Data!H11</f>
        <v>479</v>
      </c>
      <c r="AY31" s="57">
        <f>Personnel_Data!I11</f>
        <v>475</v>
      </c>
      <c r="BA31" s="115" t="s">
        <v>9</v>
      </c>
      <c r="BB31" s="115" t="s">
        <v>139</v>
      </c>
      <c r="BC31" s="116">
        <f>Augmentation_Data!M11</f>
        <v>415.5</v>
      </c>
      <c r="BD31" s="116">
        <f>Augmentation_Data!N11</f>
        <v>473.75</v>
      </c>
      <c r="BE31" s="116">
        <f>Augmentation_Data!O11</f>
        <v>513.75</v>
      </c>
      <c r="BF31" s="116">
        <f>Augmentation_Data!P11</f>
        <v>785</v>
      </c>
      <c r="BG31" s="116">
        <f>Augmentation_Data!Q11</f>
        <v>650.26</v>
      </c>
      <c r="BH31" s="116">
        <f>Augmentation_Data!R11</f>
        <v>319.75</v>
      </c>
      <c r="BX31"/>
    </row>
    <row r="32" spans="1:76" ht="14.55" customHeight="1">
      <c r="X32" s="21"/>
      <c r="Y32" s="7"/>
      <c r="AQ32" s="7"/>
      <c r="AR32" s="30" t="s">
        <v>10</v>
      </c>
      <c r="AS32" s="30" t="s">
        <v>140</v>
      </c>
      <c r="AT32" s="57">
        <f>Personnel_Data!D12</f>
        <v>885</v>
      </c>
      <c r="AU32" s="57">
        <f>Personnel_Data!E12</f>
        <v>845</v>
      </c>
      <c r="AV32" s="57">
        <f>Personnel_Data!F12</f>
        <v>819</v>
      </c>
      <c r="AW32" s="57">
        <f>Personnel_Data!G12</f>
        <v>810</v>
      </c>
      <c r="AX32" s="57">
        <f>Personnel_Data!H12</f>
        <v>827</v>
      </c>
      <c r="AY32" s="57">
        <f>Personnel_Data!I12</f>
        <v>797</v>
      </c>
      <c r="BA32" s="115" t="s">
        <v>10</v>
      </c>
      <c r="BB32" s="115" t="s">
        <v>140</v>
      </c>
      <c r="BC32" s="116">
        <f>Augmentation_Data!M12</f>
        <v>99</v>
      </c>
      <c r="BD32" s="116">
        <f>Augmentation_Data!N12</f>
        <v>65</v>
      </c>
      <c r="BE32" s="116">
        <f>Augmentation_Data!O12</f>
        <v>1341</v>
      </c>
      <c r="BF32" s="116">
        <f>Augmentation_Data!P12</f>
        <v>899.75</v>
      </c>
      <c r="BG32" s="116">
        <f>Augmentation_Data!Q12</f>
        <v>428.25</v>
      </c>
      <c r="BH32" s="116">
        <f>Augmentation_Data!R12</f>
        <v>979.5</v>
      </c>
      <c r="BX32"/>
    </row>
    <row r="33" spans="24:76" ht="14.55" customHeight="1">
      <c r="X33" s="21"/>
      <c r="AR33" s="30" t="s">
        <v>11</v>
      </c>
      <c r="AS33" s="30" t="s">
        <v>141</v>
      </c>
      <c r="AT33" s="57">
        <f>Personnel_Data!D13</f>
        <v>1138</v>
      </c>
      <c r="AU33" s="57">
        <f>Personnel_Data!E13</f>
        <v>1097</v>
      </c>
      <c r="AV33" s="57">
        <f>Personnel_Data!F13</f>
        <v>998</v>
      </c>
      <c r="AW33" s="57">
        <f>Personnel_Data!G13</f>
        <v>952</v>
      </c>
      <c r="AX33" s="57">
        <f>Personnel_Data!H13</f>
        <v>931</v>
      </c>
      <c r="AY33" s="57">
        <f>Personnel_Data!I13</f>
        <v>938</v>
      </c>
      <c r="BA33" s="115" t="s">
        <v>11</v>
      </c>
      <c r="BB33" s="115" t="s">
        <v>141</v>
      </c>
      <c r="BC33" s="116">
        <f>Augmentation_Data!M13</f>
        <v>25.5</v>
      </c>
      <c r="BD33" s="116">
        <f>Augmentation_Data!N13</f>
        <v>216</v>
      </c>
      <c r="BE33" s="116">
        <f>Augmentation_Data!O13</f>
        <v>608.5</v>
      </c>
      <c r="BF33" s="116">
        <f>Augmentation_Data!P13</f>
        <v>208.7</v>
      </c>
      <c r="BG33" s="116">
        <f>Augmentation_Data!Q13</f>
        <v>714.1</v>
      </c>
      <c r="BH33" s="116">
        <f>Augmentation_Data!R13</f>
        <v>263</v>
      </c>
      <c r="BX33"/>
    </row>
    <row r="34" spans="24:76" ht="14.55" customHeight="1">
      <c r="X34" s="21"/>
      <c r="AR34" s="30" t="s">
        <v>12</v>
      </c>
      <c r="AS34" s="30" t="s">
        <v>142</v>
      </c>
      <c r="AT34" s="57">
        <f>Personnel_Data!D14</f>
        <v>1382</v>
      </c>
      <c r="AU34" s="57">
        <f>Personnel_Data!E14</f>
        <v>1269</v>
      </c>
      <c r="AV34" s="57">
        <f>Personnel_Data!F14</f>
        <v>1201</v>
      </c>
      <c r="AW34" s="57">
        <f>Personnel_Data!G14</f>
        <v>1149</v>
      </c>
      <c r="AX34" s="57">
        <f>Personnel_Data!H14</f>
        <v>1101</v>
      </c>
      <c r="AY34" s="57">
        <f>Personnel_Data!I14</f>
        <v>1079</v>
      </c>
      <c r="BA34" s="115" t="s">
        <v>12</v>
      </c>
      <c r="BB34" s="115" t="s">
        <v>142</v>
      </c>
      <c r="BC34" s="116">
        <f>Augmentation_Data!M14</f>
        <v>229</v>
      </c>
      <c r="BD34" s="116">
        <f>Augmentation_Data!N14</f>
        <v>215.25</v>
      </c>
      <c r="BE34" s="116">
        <f>Augmentation_Data!O14</f>
        <v>1268.0500000000002</v>
      </c>
      <c r="BF34" s="116">
        <f>Augmentation_Data!P14</f>
        <v>1470.8500000000001</v>
      </c>
      <c r="BG34" s="116">
        <f>Augmentation_Data!Q14</f>
        <v>1539.25</v>
      </c>
      <c r="BH34" s="116">
        <f>Augmentation_Data!R14</f>
        <v>1282.5</v>
      </c>
      <c r="BX34"/>
    </row>
    <row r="35" spans="24:76" ht="14.55" customHeight="1">
      <c r="X35" s="21"/>
      <c r="AR35" s="30" t="s">
        <v>13</v>
      </c>
      <c r="AS35" s="30" t="s">
        <v>143</v>
      </c>
      <c r="AT35" s="57">
        <f>Personnel_Data!D15</f>
        <v>906</v>
      </c>
      <c r="AU35" s="57">
        <f>Personnel_Data!E15</f>
        <v>856</v>
      </c>
      <c r="AV35" s="57">
        <f>Personnel_Data!F15</f>
        <v>832</v>
      </c>
      <c r="AW35" s="57">
        <f>Personnel_Data!G15</f>
        <v>809</v>
      </c>
      <c r="AX35" s="57">
        <f>Personnel_Data!H15</f>
        <v>775</v>
      </c>
      <c r="AY35" s="57">
        <f>Personnel_Data!I15</f>
        <v>727</v>
      </c>
      <c r="BA35" s="115" t="s">
        <v>13</v>
      </c>
      <c r="BB35" s="115" t="s">
        <v>143</v>
      </c>
      <c r="BC35" s="116">
        <f>Augmentation_Data!M15</f>
        <v>338</v>
      </c>
      <c r="BD35" s="116">
        <f>Augmentation_Data!N15</f>
        <v>2079.4700000000003</v>
      </c>
      <c r="BE35" s="116">
        <f>Augmentation_Data!O15</f>
        <v>996</v>
      </c>
      <c r="BF35" s="116">
        <f>Augmentation_Data!P15</f>
        <v>927.5</v>
      </c>
      <c r="BG35" s="116">
        <f>Augmentation_Data!Q15</f>
        <v>1277.75</v>
      </c>
      <c r="BH35" s="116">
        <f>Augmentation_Data!R15</f>
        <v>886.75</v>
      </c>
      <c r="BX35"/>
    </row>
    <row r="36" spans="24:76" ht="14.55" customHeight="1">
      <c r="X36" s="21"/>
      <c r="AR36" s="30" t="s">
        <v>14</v>
      </c>
      <c r="AS36" s="30" t="s">
        <v>144</v>
      </c>
      <c r="AT36" s="57">
        <f>Personnel_Data!D16</f>
        <v>366</v>
      </c>
      <c r="AU36" s="57">
        <f>Personnel_Data!E16</f>
        <v>353</v>
      </c>
      <c r="AV36" s="57">
        <f>Personnel_Data!F16</f>
        <v>348</v>
      </c>
      <c r="AW36" s="57">
        <f>Personnel_Data!G16</f>
        <v>367</v>
      </c>
      <c r="AX36" s="57">
        <f>Personnel_Data!H16</f>
        <v>380</v>
      </c>
      <c r="AY36" s="57">
        <f>Personnel_Data!I16</f>
        <v>379</v>
      </c>
      <c r="BA36" s="115" t="s">
        <v>14</v>
      </c>
      <c r="BB36" s="115" t="s">
        <v>144</v>
      </c>
      <c r="BC36" s="116">
        <f>Augmentation_Data!M16</f>
        <v>234.92000000000002</v>
      </c>
      <c r="BD36" s="116">
        <f>Augmentation_Data!N16</f>
        <v>239.92000000000002</v>
      </c>
      <c r="BE36" s="116">
        <f>Augmentation_Data!O16</f>
        <v>295</v>
      </c>
      <c r="BF36" s="116">
        <f>Augmentation_Data!P16</f>
        <v>158.75</v>
      </c>
      <c r="BG36" s="116">
        <f>Augmentation_Data!Q16</f>
        <v>114</v>
      </c>
      <c r="BH36" s="116">
        <f>Augmentation_Data!R16</f>
        <v>487.5</v>
      </c>
      <c r="BX36"/>
    </row>
    <row r="37" spans="24:76" ht="14.55" customHeight="1">
      <c r="X37" s="21"/>
      <c r="AR37" s="30" t="s">
        <v>15</v>
      </c>
      <c r="AS37" s="30" t="s">
        <v>145</v>
      </c>
      <c r="AT37" s="57">
        <f>Personnel_Data!D17</f>
        <v>269</v>
      </c>
      <c r="AU37" s="57">
        <f>Personnel_Data!E17</f>
        <v>245</v>
      </c>
      <c r="AV37" s="57">
        <f>Personnel_Data!F17</f>
        <v>230</v>
      </c>
      <c r="AW37" s="57">
        <f>Personnel_Data!G17</f>
        <v>223</v>
      </c>
      <c r="AX37" s="57">
        <f>Personnel_Data!H17</f>
        <v>225</v>
      </c>
      <c r="AY37" s="57">
        <f>Personnel_Data!I17</f>
        <v>210</v>
      </c>
      <c r="BA37" s="115" t="s">
        <v>15</v>
      </c>
      <c r="BB37" s="115" t="s">
        <v>145</v>
      </c>
      <c r="BC37" s="116">
        <f>Augmentation_Data!M17</f>
        <v>456</v>
      </c>
      <c r="BD37" s="116">
        <f>Augmentation_Data!N17</f>
        <v>2537.5</v>
      </c>
      <c r="BE37" s="116">
        <f>Augmentation_Data!O17</f>
        <v>2572.5</v>
      </c>
      <c r="BF37" s="116">
        <f>Augmentation_Data!P17</f>
        <v>1413.5</v>
      </c>
      <c r="BG37" s="116">
        <f>Augmentation_Data!Q17</f>
        <v>887</v>
      </c>
      <c r="BH37" s="116">
        <f>Augmentation_Data!R17</f>
        <v>0</v>
      </c>
      <c r="BX37"/>
    </row>
    <row r="38" spans="24:76" ht="14.55" customHeight="1">
      <c r="X38" s="21"/>
      <c r="AR38" s="30" t="s">
        <v>27</v>
      </c>
      <c r="AS38" s="30" t="s">
        <v>29</v>
      </c>
      <c r="AT38" s="57">
        <f>Personnel_Data!D18</f>
        <v>22262</v>
      </c>
      <c r="AU38" s="57">
        <f>Personnel_Data!E18</f>
        <v>21292</v>
      </c>
      <c r="AV38" s="57">
        <f>Personnel_Data!F18</f>
        <v>20704</v>
      </c>
      <c r="AW38" s="57">
        <f>Personnel_Data!G18</f>
        <v>20330</v>
      </c>
      <c r="AX38" s="57">
        <f>Personnel_Data!H18</f>
        <v>19652</v>
      </c>
      <c r="AY38" s="57">
        <f>Personnel_Data!I18</f>
        <v>18926</v>
      </c>
      <c r="BA38" s="115" t="s">
        <v>27</v>
      </c>
      <c r="BB38" s="117" t="s">
        <v>29</v>
      </c>
      <c r="BC38" s="116">
        <f>Augmentation_Data!M18</f>
        <v>10010.880000000001</v>
      </c>
      <c r="BD38" s="116">
        <f>Augmentation_Data!N18</f>
        <v>21368.989999999998</v>
      </c>
      <c r="BE38" s="116">
        <f>Augmentation_Data!O18</f>
        <v>26512.48</v>
      </c>
      <c r="BF38" s="116">
        <f>Augmentation_Data!P18</f>
        <v>18663.07</v>
      </c>
      <c r="BG38" s="116">
        <f>Augmentation_Data!Q18</f>
        <v>19225.72</v>
      </c>
      <c r="BH38" s="116">
        <f>Augmentation_Data!R18</f>
        <v>15326.28</v>
      </c>
      <c r="BX38"/>
    </row>
    <row r="39" spans="24:76" ht="14.55" customHeight="1">
      <c r="X39" s="21"/>
      <c r="AR39"/>
      <c r="BX39"/>
    </row>
    <row r="40" spans="24:76" ht="14.55" customHeight="1">
      <c r="X40" s="21"/>
      <c r="AR40"/>
      <c r="BX40"/>
    </row>
    <row r="41" spans="24:76" ht="14.55" customHeight="1">
      <c r="X41" s="21"/>
      <c r="AR41" s="30" t="s">
        <v>21</v>
      </c>
      <c r="AS41" s="30" t="s">
        <v>20</v>
      </c>
      <c r="AT41" s="30" t="s">
        <v>30</v>
      </c>
      <c r="AU41" s="30" t="s">
        <v>22</v>
      </c>
      <c r="AV41" s="30" t="s">
        <v>39</v>
      </c>
      <c r="AW41" s="30" t="s">
        <v>40</v>
      </c>
      <c r="AX41" s="30" t="s">
        <v>41</v>
      </c>
      <c r="AY41" s="30" t="s">
        <v>42</v>
      </c>
      <c r="AZ41" s="17"/>
      <c r="BA41" s="12" t="s">
        <v>21</v>
      </c>
      <c r="BB41" s="12" t="s">
        <v>20</v>
      </c>
      <c r="BC41" s="12" t="s">
        <v>30</v>
      </c>
      <c r="BD41" s="12" t="s">
        <v>22</v>
      </c>
      <c r="BE41" s="12" t="s">
        <v>39</v>
      </c>
      <c r="BF41" s="12" t="s">
        <v>40</v>
      </c>
      <c r="BG41" s="12" t="s">
        <v>41</v>
      </c>
      <c r="BH41" s="12" t="s">
        <v>42</v>
      </c>
      <c r="BX41"/>
    </row>
    <row r="42" spans="24:76" ht="14.55" customHeight="1">
      <c r="X42" s="37"/>
      <c r="AR42" s="30" t="s">
        <v>0</v>
      </c>
      <c r="AS42" s="30" t="s">
        <v>131</v>
      </c>
      <c r="AT42" s="57">
        <f>Personnel_Data!D22</f>
        <v>132</v>
      </c>
      <c r="AU42" s="57">
        <f>Personnel_Data!E22</f>
        <v>133</v>
      </c>
      <c r="AV42" s="57">
        <f>Personnel_Data!F22</f>
        <v>127</v>
      </c>
      <c r="AW42" s="57">
        <f>Personnel_Data!G22</f>
        <v>136</v>
      </c>
      <c r="AX42" s="57">
        <f>Personnel_Data!H22</f>
        <v>122</v>
      </c>
      <c r="AY42" s="57">
        <f>Personnel_Data!I22</f>
        <v>74</v>
      </c>
      <c r="BA42" s="15" t="s">
        <v>0</v>
      </c>
      <c r="BB42" s="15" t="s">
        <v>131</v>
      </c>
      <c r="BC42" s="36">
        <f>Personnel_Data!M22</f>
        <v>75</v>
      </c>
      <c r="BD42" s="36">
        <f>Personnel_Data!N22</f>
        <v>53</v>
      </c>
      <c r="BE42" s="36">
        <f>Personnel_Data!O22</f>
        <v>72</v>
      </c>
      <c r="BF42" s="36">
        <f>Personnel_Data!P22</f>
        <v>67</v>
      </c>
      <c r="BG42" s="36">
        <f>Personnel_Data!Q22</f>
        <v>80</v>
      </c>
      <c r="BH42" s="36">
        <f>Personnel_Data!R22</f>
        <v>74</v>
      </c>
      <c r="BV42" s="10"/>
      <c r="BX42"/>
    </row>
    <row r="43" spans="24:76" ht="14.55" customHeight="1">
      <c r="X43" s="21"/>
      <c r="AR43" s="30" t="s">
        <v>1</v>
      </c>
      <c r="AS43" s="30" t="s">
        <v>130</v>
      </c>
      <c r="AT43" s="57">
        <f>Personnel_Data!D23</f>
        <v>148</v>
      </c>
      <c r="AU43" s="57">
        <f>Personnel_Data!E23</f>
        <v>231</v>
      </c>
      <c r="AV43" s="57">
        <f>Personnel_Data!F23</f>
        <v>252</v>
      </c>
      <c r="AW43" s="57">
        <f>Personnel_Data!G23</f>
        <v>219</v>
      </c>
      <c r="AX43" s="57">
        <f>Personnel_Data!H23</f>
        <v>189</v>
      </c>
      <c r="AY43" s="57">
        <f>Personnel_Data!I23</f>
        <v>88</v>
      </c>
      <c r="BA43" s="15" t="s">
        <v>1</v>
      </c>
      <c r="BB43" s="15" t="s">
        <v>130</v>
      </c>
      <c r="BC43" s="36">
        <f>Personnel_Data!M23</f>
        <v>59</v>
      </c>
      <c r="BD43" s="36">
        <f>Personnel_Data!N23</f>
        <v>120</v>
      </c>
      <c r="BE43" s="36">
        <f>Personnel_Data!O23</f>
        <v>134</v>
      </c>
      <c r="BF43" s="36">
        <f>Personnel_Data!P23</f>
        <v>128</v>
      </c>
      <c r="BG43" s="36">
        <f>Personnel_Data!Q23</f>
        <v>89</v>
      </c>
      <c r="BH43" s="36">
        <f>Personnel_Data!R23</f>
        <v>88</v>
      </c>
      <c r="BX43"/>
    </row>
    <row r="44" spans="24:76" ht="14.55" customHeight="1">
      <c r="X44" s="21"/>
      <c r="AR44" s="30" t="s">
        <v>2</v>
      </c>
      <c r="AS44" s="30" t="s">
        <v>132</v>
      </c>
      <c r="AT44" s="57">
        <f>Personnel_Data!D24</f>
        <v>75</v>
      </c>
      <c r="AU44" s="57">
        <f>Personnel_Data!E24</f>
        <v>79</v>
      </c>
      <c r="AV44" s="57">
        <f>Personnel_Data!F24</f>
        <v>60</v>
      </c>
      <c r="AW44" s="57">
        <f>Personnel_Data!G24</f>
        <v>101</v>
      </c>
      <c r="AX44" s="57">
        <f>Personnel_Data!H24</f>
        <v>75</v>
      </c>
      <c r="AY44" s="57">
        <f>Personnel_Data!I24</f>
        <v>51</v>
      </c>
      <c r="BA44" s="15" t="s">
        <v>2</v>
      </c>
      <c r="BB44" s="15" t="s">
        <v>132</v>
      </c>
      <c r="BC44" s="36">
        <f>Personnel_Data!M24</f>
        <v>36</v>
      </c>
      <c r="BD44" s="36">
        <f>Personnel_Data!N24</f>
        <v>26</v>
      </c>
      <c r="BE44" s="36">
        <f>Personnel_Data!O24</f>
        <v>24</v>
      </c>
      <c r="BF44" s="36">
        <f>Personnel_Data!P24</f>
        <v>64</v>
      </c>
      <c r="BG44" s="36">
        <f>Personnel_Data!Q24</f>
        <v>29</v>
      </c>
      <c r="BH44" s="36">
        <f>Personnel_Data!R24</f>
        <v>51</v>
      </c>
      <c r="BX44"/>
    </row>
    <row r="45" spans="24:76" ht="14.55" customHeight="1">
      <c r="X45" s="21"/>
      <c r="AR45" s="30" t="s">
        <v>3</v>
      </c>
      <c r="AS45" s="30" t="s">
        <v>133</v>
      </c>
      <c r="AT45" s="57">
        <f>Personnel_Data!D25</f>
        <v>177</v>
      </c>
      <c r="AU45" s="57">
        <f>Personnel_Data!E25</f>
        <v>187</v>
      </c>
      <c r="AV45" s="57">
        <f>Personnel_Data!F25</f>
        <v>220</v>
      </c>
      <c r="AW45" s="57">
        <f>Personnel_Data!G25</f>
        <v>252</v>
      </c>
      <c r="AX45" s="57">
        <f>Personnel_Data!H25</f>
        <v>183</v>
      </c>
      <c r="AY45" s="57">
        <f>Personnel_Data!I25</f>
        <v>122</v>
      </c>
      <c r="BA45" s="15" t="s">
        <v>3</v>
      </c>
      <c r="BB45" s="15" t="s">
        <v>133</v>
      </c>
      <c r="BC45" s="36">
        <f>Personnel_Data!M25</f>
        <v>79</v>
      </c>
      <c r="BD45" s="36">
        <f>Personnel_Data!N25</f>
        <v>79</v>
      </c>
      <c r="BE45" s="36">
        <f>Personnel_Data!O25</f>
        <v>122</v>
      </c>
      <c r="BF45" s="36">
        <f>Personnel_Data!P25</f>
        <v>137</v>
      </c>
      <c r="BG45" s="36">
        <f>Personnel_Data!Q25</f>
        <v>93</v>
      </c>
      <c r="BH45" s="36">
        <f>Personnel_Data!R25</f>
        <v>122</v>
      </c>
      <c r="BX45"/>
    </row>
    <row r="46" spans="24:76" ht="14.55" customHeight="1">
      <c r="X46" s="21"/>
      <c r="AR46" s="30" t="s">
        <v>4</v>
      </c>
      <c r="AS46" s="30" t="s">
        <v>134</v>
      </c>
      <c r="AT46" s="57">
        <f>Personnel_Data!D26</f>
        <v>381</v>
      </c>
      <c r="AU46" s="57">
        <f>Personnel_Data!E26</f>
        <v>331</v>
      </c>
      <c r="AV46" s="57">
        <f>Personnel_Data!F26</f>
        <v>420</v>
      </c>
      <c r="AW46" s="57">
        <f>Personnel_Data!G26</f>
        <v>319</v>
      </c>
      <c r="AX46" s="57">
        <f>Personnel_Data!H26</f>
        <v>299</v>
      </c>
      <c r="AY46" s="57">
        <f>Personnel_Data!I26</f>
        <v>183</v>
      </c>
      <c r="BA46" s="15" t="s">
        <v>4</v>
      </c>
      <c r="BB46" s="15" t="s">
        <v>134</v>
      </c>
      <c r="BC46" s="36">
        <f>Personnel_Data!M26</f>
        <v>183</v>
      </c>
      <c r="BD46" s="36">
        <f>Personnel_Data!N26</f>
        <v>154</v>
      </c>
      <c r="BE46" s="36">
        <f>Personnel_Data!O26</f>
        <v>233</v>
      </c>
      <c r="BF46" s="36">
        <f>Personnel_Data!P26</f>
        <v>156</v>
      </c>
      <c r="BG46" s="36">
        <f>Personnel_Data!Q26</f>
        <v>173</v>
      </c>
      <c r="BH46" s="36">
        <f>Personnel_Data!R26</f>
        <v>183</v>
      </c>
      <c r="BX46"/>
    </row>
    <row r="47" spans="24:76" ht="14.55" customHeight="1">
      <c r="X47" s="21"/>
      <c r="AR47" s="30" t="s">
        <v>5</v>
      </c>
      <c r="AS47" s="30" t="s">
        <v>135</v>
      </c>
      <c r="AT47" s="57">
        <f>Personnel_Data!D27</f>
        <v>133</v>
      </c>
      <c r="AU47" s="57">
        <f>Personnel_Data!E27</f>
        <v>103</v>
      </c>
      <c r="AV47" s="57">
        <f>Personnel_Data!F27</f>
        <v>112</v>
      </c>
      <c r="AW47" s="57">
        <f>Personnel_Data!G27</f>
        <v>125</v>
      </c>
      <c r="AX47" s="57">
        <f>Personnel_Data!H27</f>
        <v>123</v>
      </c>
      <c r="AY47" s="57">
        <f>Personnel_Data!I27</f>
        <v>55</v>
      </c>
      <c r="BA47" s="15" t="s">
        <v>5</v>
      </c>
      <c r="BB47" s="15" t="s">
        <v>135</v>
      </c>
      <c r="BC47" s="36">
        <f>Personnel_Data!M27</f>
        <v>65</v>
      </c>
      <c r="BD47" s="36">
        <f>Personnel_Data!N27</f>
        <v>56</v>
      </c>
      <c r="BE47" s="36">
        <f>Personnel_Data!O27</f>
        <v>45</v>
      </c>
      <c r="BF47" s="36">
        <f>Personnel_Data!P27</f>
        <v>61</v>
      </c>
      <c r="BG47" s="36">
        <f>Personnel_Data!Q27</f>
        <v>59</v>
      </c>
      <c r="BH47" s="36">
        <f>Personnel_Data!R27</f>
        <v>55</v>
      </c>
      <c r="BX47"/>
    </row>
    <row r="48" spans="24:76" ht="14.55" customHeight="1">
      <c r="X48" s="21"/>
      <c r="AR48" s="30" t="s">
        <v>6</v>
      </c>
      <c r="AS48" s="30" t="s">
        <v>136</v>
      </c>
      <c r="AT48" s="57">
        <f>Personnel_Data!D28</f>
        <v>74</v>
      </c>
      <c r="AU48" s="57">
        <f>Personnel_Data!E28</f>
        <v>69</v>
      </c>
      <c r="AV48" s="57">
        <f>Personnel_Data!F28</f>
        <v>150</v>
      </c>
      <c r="AW48" s="57">
        <f>Personnel_Data!G28</f>
        <v>89</v>
      </c>
      <c r="AX48" s="57">
        <f>Personnel_Data!H28</f>
        <v>67</v>
      </c>
      <c r="AY48" s="57">
        <f>Personnel_Data!I28</f>
        <v>60</v>
      </c>
      <c r="BA48" s="15" t="s">
        <v>6</v>
      </c>
      <c r="BB48" s="15" t="s">
        <v>136</v>
      </c>
      <c r="BC48" s="36">
        <f>Personnel_Data!M28</f>
        <v>31</v>
      </c>
      <c r="BD48" s="36">
        <f>Personnel_Data!N28</f>
        <v>35</v>
      </c>
      <c r="BE48" s="36">
        <f>Personnel_Data!O28</f>
        <v>89</v>
      </c>
      <c r="BF48" s="36">
        <f>Personnel_Data!P28</f>
        <v>39</v>
      </c>
      <c r="BG48" s="36">
        <f>Personnel_Data!Q28</f>
        <v>47</v>
      </c>
      <c r="BH48" s="36">
        <f>Personnel_Data!R28</f>
        <v>60</v>
      </c>
      <c r="BX48"/>
    </row>
    <row r="49" spans="1:76" ht="14.55" customHeight="1">
      <c r="X49" s="21"/>
      <c r="AR49" s="30" t="s">
        <v>7</v>
      </c>
      <c r="AS49" s="30" t="s">
        <v>137</v>
      </c>
      <c r="AT49" s="57">
        <f>Personnel_Data!D29</f>
        <v>33</v>
      </c>
      <c r="AU49" s="57">
        <f>Personnel_Data!E29</f>
        <v>69</v>
      </c>
      <c r="AV49" s="57">
        <f>Personnel_Data!F29</f>
        <v>73</v>
      </c>
      <c r="AW49" s="57">
        <f>Personnel_Data!G29</f>
        <v>91</v>
      </c>
      <c r="AX49" s="57">
        <f>Personnel_Data!H29</f>
        <v>71</v>
      </c>
      <c r="AY49" s="57">
        <f>Personnel_Data!I29</f>
        <v>63</v>
      </c>
      <c r="BA49" s="15" t="s">
        <v>7</v>
      </c>
      <c r="BB49" s="15" t="s">
        <v>137</v>
      </c>
      <c r="BC49" s="36">
        <f>Personnel_Data!M29</f>
        <v>22</v>
      </c>
      <c r="BD49" s="36">
        <f>Personnel_Data!N29</f>
        <v>23</v>
      </c>
      <c r="BE49" s="36">
        <f>Personnel_Data!O29</f>
        <v>48</v>
      </c>
      <c r="BF49" s="36">
        <f>Personnel_Data!P29</f>
        <v>45</v>
      </c>
      <c r="BG49" s="36">
        <f>Personnel_Data!Q29</f>
        <v>50</v>
      </c>
      <c r="BH49" s="36">
        <f>Personnel_Data!R29</f>
        <v>63</v>
      </c>
      <c r="BX49"/>
    </row>
    <row r="50" spans="1:76" ht="14.55" customHeight="1">
      <c r="B50" s="4" t="str">
        <f t="array" ref="B50">IFERROR(INDEX(#REF!,SMALL(IF(#REF!=$BD$3,ROW(#REF!)-MIN(ROW(#REF!))+1),#REF!)), "")</f>
        <v/>
      </c>
      <c r="C50" s="4" t="str">
        <f t="array" ref="C50">IFERROR(INDEX(#REF!,SMALL(IF(#REF!=$BD$3,ROW(#REF!)-MIN(ROW(#REF!))+1),#REF!)), "")</f>
        <v/>
      </c>
      <c r="D50" s="4" t="str">
        <f t="array" ref="D50">IFERROR(INDEX(#REF!,SMALL(IF(#REF!=$BD$3,ROW(#REF!)-MIN(ROW(#REF!))+1),#REF!)), "")</f>
        <v/>
      </c>
      <c r="E50" s="4" t="str">
        <f t="array" ref="E50">IFERROR(INDEX(#REF!,SMALL(IF(#REF!=$BD$3,ROW(#REF!)-MIN(ROW(#REF!))+1),#REF!)), "")</f>
        <v/>
      </c>
      <c r="F50" s="4" t="str">
        <f t="array" ref="F50">IFERROR(INDEX(#REF!,SMALL(IF(#REF!=$BD$3,ROW(#REF!)-MIN(ROW(#REF!))+1),#REF!)), "")</f>
        <v/>
      </c>
      <c r="G50" s="4" t="str">
        <f t="array" ref="G50">IFERROR(INDEX(#REF!,SMALL(IF(#REF!=$BD$3,ROW(#REF!)-MIN(ROW(#REF!))+1),#REF!)), "")</f>
        <v/>
      </c>
      <c r="H50" s="4" t="str">
        <f t="array" ref="H50">IFERROR(INDEX(#REF!,SMALL(IF(#REF!=$BD$3,ROW(#REF!)-MIN(ROW(#REF!))+1),#REF!)), "")</f>
        <v/>
      </c>
      <c r="I50" s="4" t="str">
        <f t="array" ref="I50">IFERROR(INDEX(#REF!,SMALL(IF(#REF!=$BD$3,ROW(#REF!)-MIN(ROW(#REF!))+1),#REF!)), "")</f>
        <v/>
      </c>
      <c r="J50" s="4" t="str">
        <f t="array" ref="J50">IFERROR(INDEX(#REF!,SMALL(IF(#REF!=$BD$3,ROW(#REF!)-MIN(ROW(#REF!))+1),#REF!)), "")</f>
        <v/>
      </c>
      <c r="X50" s="21"/>
      <c r="AR50" s="30" t="s">
        <v>8</v>
      </c>
      <c r="AS50" s="30" t="s">
        <v>138</v>
      </c>
      <c r="AT50" s="57">
        <f>Personnel_Data!D30</f>
        <v>46</v>
      </c>
      <c r="AU50" s="57">
        <f>Personnel_Data!E30</f>
        <v>60</v>
      </c>
      <c r="AV50" s="57">
        <f>Personnel_Data!F30</f>
        <v>61</v>
      </c>
      <c r="AW50" s="57">
        <f>Personnel_Data!G30</f>
        <v>52</v>
      </c>
      <c r="AX50" s="57">
        <f>Personnel_Data!H30</f>
        <v>62</v>
      </c>
      <c r="AY50" s="57">
        <f>Personnel_Data!I30</f>
        <v>31</v>
      </c>
      <c r="BA50" s="15" t="s">
        <v>8</v>
      </c>
      <c r="BB50" s="15" t="s">
        <v>138</v>
      </c>
      <c r="BC50" s="36">
        <f>Personnel_Data!M30</f>
        <v>25</v>
      </c>
      <c r="BD50" s="36">
        <f>Personnel_Data!N30</f>
        <v>29</v>
      </c>
      <c r="BE50" s="36">
        <f>Personnel_Data!O30</f>
        <v>32</v>
      </c>
      <c r="BF50" s="36">
        <f>Personnel_Data!P30</f>
        <v>36</v>
      </c>
      <c r="BG50" s="36">
        <f>Personnel_Data!Q30</f>
        <v>38</v>
      </c>
      <c r="BH50" s="36">
        <f>Personnel_Data!R30</f>
        <v>31</v>
      </c>
      <c r="BX50"/>
    </row>
    <row r="51" spans="1:76" ht="14.25" customHeight="1">
      <c r="X51" s="21"/>
      <c r="AR51" s="30" t="s">
        <v>9</v>
      </c>
      <c r="AS51" s="30" t="s">
        <v>139</v>
      </c>
      <c r="AT51" s="57">
        <f>Personnel_Data!D31</f>
        <v>26</v>
      </c>
      <c r="AU51" s="57">
        <f>Personnel_Data!E31</f>
        <v>22</v>
      </c>
      <c r="AV51" s="57">
        <f>Personnel_Data!F31</f>
        <v>31</v>
      </c>
      <c r="AW51" s="57">
        <f>Personnel_Data!G31</f>
        <v>26</v>
      </c>
      <c r="AX51" s="57">
        <f>Personnel_Data!H31</f>
        <v>26</v>
      </c>
      <c r="AY51" s="57">
        <f>Personnel_Data!I31</f>
        <v>26</v>
      </c>
      <c r="BA51" s="15" t="s">
        <v>9</v>
      </c>
      <c r="BB51" s="15" t="s">
        <v>139</v>
      </c>
      <c r="BC51" s="36">
        <f>Personnel_Data!M31</f>
        <v>10</v>
      </c>
      <c r="BD51" s="36">
        <f>Personnel_Data!N31</f>
        <v>10</v>
      </c>
      <c r="BE51" s="36">
        <f>Personnel_Data!O31</f>
        <v>15</v>
      </c>
      <c r="BF51" s="36">
        <f>Personnel_Data!P31</f>
        <v>7</v>
      </c>
      <c r="BG51" s="36">
        <f>Personnel_Data!Q31</f>
        <v>12</v>
      </c>
      <c r="BH51" s="36">
        <f>Personnel_Data!R31</f>
        <v>26</v>
      </c>
      <c r="BX51"/>
    </row>
    <row r="52" spans="1:76" s="10" customFormat="1" ht="19.2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21"/>
      <c r="Y52" s="4"/>
      <c r="Z52"/>
      <c r="AA52"/>
      <c r="AK52"/>
      <c r="AL52"/>
      <c r="AM52"/>
      <c r="AN52"/>
      <c r="AO52"/>
      <c r="AP52"/>
      <c r="AQ52" s="4"/>
      <c r="AR52" s="30" t="s">
        <v>10</v>
      </c>
      <c r="AS52" s="30" t="s">
        <v>140</v>
      </c>
      <c r="AT52" s="57">
        <f>Personnel_Data!D32</f>
        <v>72</v>
      </c>
      <c r="AU52" s="57">
        <f>Personnel_Data!E32</f>
        <v>54</v>
      </c>
      <c r="AV52" s="57">
        <f>Personnel_Data!F32</f>
        <v>85</v>
      </c>
      <c r="AW52" s="57">
        <f>Personnel_Data!G32</f>
        <v>71</v>
      </c>
      <c r="AX52" s="57">
        <f>Personnel_Data!H32</f>
        <v>87</v>
      </c>
      <c r="AY52" s="57">
        <f>Personnel_Data!I32</f>
        <v>39</v>
      </c>
      <c r="AZ52"/>
      <c r="BA52" s="15" t="s">
        <v>10</v>
      </c>
      <c r="BB52" s="15" t="s">
        <v>140</v>
      </c>
      <c r="BC52" s="36">
        <f>Personnel_Data!M32</f>
        <v>38</v>
      </c>
      <c r="BD52" s="36">
        <f>Personnel_Data!N32</f>
        <v>28</v>
      </c>
      <c r="BE52" s="36">
        <f>Personnel_Data!O32</f>
        <v>49</v>
      </c>
      <c r="BF52" s="36">
        <f>Personnel_Data!P32</f>
        <v>39</v>
      </c>
      <c r="BG52" s="36">
        <f>Personnel_Data!Q32</f>
        <v>53</v>
      </c>
      <c r="BH52" s="36">
        <f>Personnel_Data!R32</f>
        <v>39</v>
      </c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X52"/>
    </row>
    <row r="53" spans="1:76" ht="14.55" customHeight="1">
      <c r="X53" s="21"/>
      <c r="AR53" s="30" t="s">
        <v>11</v>
      </c>
      <c r="AS53" s="30" t="s">
        <v>141</v>
      </c>
      <c r="AT53" s="57">
        <f>Personnel_Data!D33</f>
        <v>78</v>
      </c>
      <c r="AU53" s="57">
        <f>Personnel_Data!E33</f>
        <v>70</v>
      </c>
      <c r="AV53" s="57">
        <f>Personnel_Data!F33</f>
        <v>70</v>
      </c>
      <c r="AW53" s="57">
        <f>Personnel_Data!G33</f>
        <v>95</v>
      </c>
      <c r="AX53" s="57">
        <f>Personnel_Data!H33</f>
        <v>81</v>
      </c>
      <c r="AY53" s="57">
        <f>Personnel_Data!I33</f>
        <v>35</v>
      </c>
      <c r="BA53" s="15" t="s">
        <v>11</v>
      </c>
      <c r="BB53" s="15" t="s">
        <v>141</v>
      </c>
      <c r="BC53" s="36">
        <f>Personnel_Data!M33</f>
        <v>34</v>
      </c>
      <c r="BD53" s="36">
        <f>Personnel_Data!N33</f>
        <v>43</v>
      </c>
      <c r="BE53" s="36">
        <f>Personnel_Data!O33</f>
        <v>34</v>
      </c>
      <c r="BF53" s="36">
        <f>Personnel_Data!P33</f>
        <v>48</v>
      </c>
      <c r="BG53" s="36">
        <f>Personnel_Data!Q33</f>
        <v>34</v>
      </c>
      <c r="BH53" s="36">
        <f>Personnel_Data!R33</f>
        <v>35</v>
      </c>
      <c r="BX53"/>
    </row>
    <row r="54" spans="1:76" ht="14.55" customHeight="1">
      <c r="X54" s="21"/>
      <c r="AR54" s="30" t="s">
        <v>12</v>
      </c>
      <c r="AS54" s="30" t="s">
        <v>142</v>
      </c>
      <c r="AT54" s="57">
        <f>Personnel_Data!D34</f>
        <v>75</v>
      </c>
      <c r="AU54" s="57">
        <f>Personnel_Data!E34</f>
        <v>89</v>
      </c>
      <c r="AV54" s="57">
        <f>Personnel_Data!F34</f>
        <v>107</v>
      </c>
      <c r="AW54" s="57">
        <f>Personnel_Data!G34</f>
        <v>104</v>
      </c>
      <c r="AX54" s="57">
        <f>Personnel_Data!H34</f>
        <v>87</v>
      </c>
      <c r="AY54" s="57">
        <f>Personnel_Data!I34</f>
        <v>36</v>
      </c>
      <c r="BA54" s="15" t="s">
        <v>12</v>
      </c>
      <c r="BB54" s="15" t="s">
        <v>142</v>
      </c>
      <c r="BC54" s="36">
        <f>Personnel_Data!M34</f>
        <v>39</v>
      </c>
      <c r="BD54" s="36">
        <f>Personnel_Data!N34</f>
        <v>34</v>
      </c>
      <c r="BE54" s="36">
        <f>Personnel_Data!O34</f>
        <v>51</v>
      </c>
      <c r="BF54" s="36">
        <f>Personnel_Data!P34</f>
        <v>51</v>
      </c>
      <c r="BG54" s="36">
        <f>Personnel_Data!Q34</f>
        <v>36</v>
      </c>
      <c r="BH54" s="36">
        <f>Personnel_Data!R34</f>
        <v>36</v>
      </c>
      <c r="BX54"/>
    </row>
    <row r="55" spans="1:76" ht="14.55" customHeight="1">
      <c r="X55" s="21"/>
      <c r="AR55" s="30" t="s">
        <v>13</v>
      </c>
      <c r="AS55" s="30" t="s">
        <v>143</v>
      </c>
      <c r="AT55" s="57">
        <f>Personnel_Data!D35</f>
        <v>60</v>
      </c>
      <c r="AU55" s="57">
        <f>Personnel_Data!E35</f>
        <v>76</v>
      </c>
      <c r="AV55" s="57">
        <f>Personnel_Data!F35</f>
        <v>91</v>
      </c>
      <c r="AW55" s="57">
        <f>Personnel_Data!G35</f>
        <v>63</v>
      </c>
      <c r="AX55" s="57">
        <f>Personnel_Data!H35</f>
        <v>66</v>
      </c>
      <c r="AY55" s="57">
        <f>Personnel_Data!I35</f>
        <v>32</v>
      </c>
      <c r="BA55" s="15" t="s">
        <v>13</v>
      </c>
      <c r="BB55" s="15" t="s">
        <v>143</v>
      </c>
      <c r="BC55" s="36">
        <f>Personnel_Data!M35</f>
        <v>24</v>
      </c>
      <c r="BD55" s="36">
        <f>Personnel_Data!N35</f>
        <v>39</v>
      </c>
      <c r="BE55" s="36">
        <f>Personnel_Data!O35</f>
        <v>45</v>
      </c>
      <c r="BF55" s="36">
        <f>Personnel_Data!P35</f>
        <v>26</v>
      </c>
      <c r="BG55" s="36">
        <f>Personnel_Data!Q35</f>
        <v>34</v>
      </c>
      <c r="BH55" s="36">
        <f>Personnel_Data!R35</f>
        <v>32</v>
      </c>
      <c r="BX55"/>
    </row>
    <row r="56" spans="1:76" ht="14.55" customHeight="1">
      <c r="X56" s="21"/>
      <c r="AR56" s="30" t="s">
        <v>14</v>
      </c>
      <c r="AS56" s="30" t="s">
        <v>144</v>
      </c>
      <c r="AT56" s="57">
        <f>Personnel_Data!D36</f>
        <v>30</v>
      </c>
      <c r="AU56" s="57">
        <f>Personnel_Data!E36</f>
        <v>16</v>
      </c>
      <c r="AV56" s="57">
        <f>Personnel_Data!F36</f>
        <v>59</v>
      </c>
      <c r="AW56" s="57">
        <f>Personnel_Data!G36</f>
        <v>53</v>
      </c>
      <c r="AX56" s="57">
        <f>Personnel_Data!H36</f>
        <v>54</v>
      </c>
      <c r="AY56" s="57">
        <f>Personnel_Data!I36</f>
        <v>4</v>
      </c>
      <c r="BA56" s="15" t="s">
        <v>14</v>
      </c>
      <c r="BB56" s="15" t="s">
        <v>144</v>
      </c>
      <c r="BC56" s="36">
        <f>Personnel_Data!M36</f>
        <v>15</v>
      </c>
      <c r="BD56" s="36">
        <f>Personnel_Data!N36</f>
        <v>8</v>
      </c>
      <c r="BE56" s="36">
        <f>Personnel_Data!O36</f>
        <v>30</v>
      </c>
      <c r="BF56" s="36">
        <f>Personnel_Data!P36</f>
        <v>22</v>
      </c>
      <c r="BG56" s="36">
        <f>Personnel_Data!Q36</f>
        <v>22</v>
      </c>
      <c r="BH56" s="36">
        <f>Personnel_Data!R36</f>
        <v>4</v>
      </c>
      <c r="BX56"/>
    </row>
    <row r="57" spans="1:76" ht="14.55" customHeight="1">
      <c r="X57" s="21"/>
      <c r="AR57" s="30" t="s">
        <v>15</v>
      </c>
      <c r="AS57" s="30" t="s">
        <v>145</v>
      </c>
      <c r="AT57" s="57">
        <f>Personnel_Data!D37</f>
        <v>13</v>
      </c>
      <c r="AU57" s="57">
        <f>Personnel_Data!E37</f>
        <v>11</v>
      </c>
      <c r="AV57" s="57">
        <f>Personnel_Data!F37</f>
        <v>22</v>
      </c>
      <c r="AW57" s="57">
        <f>Personnel_Data!G37</f>
        <v>20</v>
      </c>
      <c r="AX57" s="57">
        <f>Personnel_Data!H37</f>
        <v>9</v>
      </c>
      <c r="AY57" s="57">
        <f>Personnel_Data!I37</f>
        <v>7</v>
      </c>
      <c r="BA57" s="15" t="s">
        <v>15</v>
      </c>
      <c r="BB57" s="15" t="s">
        <v>145</v>
      </c>
      <c r="BC57" s="36">
        <f>Personnel_Data!M37</f>
        <v>9</v>
      </c>
      <c r="BD57" s="36">
        <f>Personnel_Data!N37</f>
        <v>6</v>
      </c>
      <c r="BE57" s="36">
        <f>Personnel_Data!O37</f>
        <v>11</v>
      </c>
      <c r="BF57" s="36">
        <f>Personnel_Data!P37</f>
        <v>5</v>
      </c>
      <c r="BG57" s="36">
        <f>Personnel_Data!Q37</f>
        <v>8</v>
      </c>
      <c r="BH57" s="36">
        <f>Personnel_Data!R37</f>
        <v>7</v>
      </c>
      <c r="BX57"/>
    </row>
    <row r="58" spans="1:76" ht="14.55" customHeight="1">
      <c r="X58" s="21"/>
      <c r="AR58" s="30" t="s">
        <v>27</v>
      </c>
      <c r="AS58" s="30" t="s">
        <v>29</v>
      </c>
      <c r="AT58" s="57">
        <f>Personnel_Data!D38</f>
        <v>1553</v>
      </c>
      <c r="AU58" s="57">
        <f>Personnel_Data!E38</f>
        <v>1600</v>
      </c>
      <c r="AV58" s="57">
        <f>Personnel_Data!F38</f>
        <v>1940</v>
      </c>
      <c r="AW58" s="57">
        <f>Personnel_Data!G38</f>
        <v>1816</v>
      </c>
      <c r="AX58" s="57">
        <f>Personnel_Data!H38</f>
        <v>1601</v>
      </c>
      <c r="AY58" s="57">
        <f>Personnel_Data!I38</f>
        <v>906</v>
      </c>
      <c r="BA58" s="15" t="s">
        <v>27</v>
      </c>
      <c r="BB58" s="14" t="s">
        <v>29</v>
      </c>
      <c r="BC58" s="36">
        <f>Personnel_Data!M38</f>
        <v>744</v>
      </c>
      <c r="BD58" s="36">
        <f>Personnel_Data!N38</f>
        <v>743</v>
      </c>
      <c r="BE58" s="36">
        <f>Personnel_Data!O38</f>
        <v>1034</v>
      </c>
      <c r="BF58" s="36">
        <f>Personnel_Data!P38</f>
        <v>931</v>
      </c>
      <c r="BG58" s="36">
        <f>Personnel_Data!Q38</f>
        <v>857</v>
      </c>
      <c r="BH58" s="36">
        <f>Personnel_Data!R38</f>
        <v>906</v>
      </c>
      <c r="BX58"/>
    </row>
    <row r="59" spans="1:76" ht="14.55" customHeight="1">
      <c r="X59" s="21"/>
      <c r="AR59"/>
      <c r="BX59"/>
    </row>
    <row r="60" spans="1:76" ht="14.55" customHeight="1">
      <c r="X60" s="21"/>
      <c r="AR60"/>
      <c r="BX60"/>
    </row>
    <row r="61" spans="1:76" ht="14.55" customHeight="1">
      <c r="X61" s="21"/>
      <c r="AR61" s="30" t="s">
        <v>21</v>
      </c>
      <c r="AS61" s="30" t="s">
        <v>20</v>
      </c>
      <c r="AT61" s="30" t="s">
        <v>30</v>
      </c>
      <c r="AU61" s="30" t="s">
        <v>22</v>
      </c>
      <c r="AV61" s="30" t="s">
        <v>39</v>
      </c>
      <c r="AW61" s="30" t="s">
        <v>40</v>
      </c>
      <c r="AX61" s="30" t="s">
        <v>41</v>
      </c>
      <c r="AY61" s="30" t="s">
        <v>42</v>
      </c>
      <c r="AZ61" s="17"/>
      <c r="BA61" s="12" t="s">
        <v>21</v>
      </c>
      <c r="BB61" s="12" t="s">
        <v>20</v>
      </c>
      <c r="BC61" s="12" t="s">
        <v>30</v>
      </c>
      <c r="BD61" s="12" t="s">
        <v>22</v>
      </c>
      <c r="BE61" s="12" t="s">
        <v>39</v>
      </c>
      <c r="BF61" s="12" t="s">
        <v>40</v>
      </c>
      <c r="BG61" s="12" t="s">
        <v>41</v>
      </c>
      <c r="BH61" s="12" t="s">
        <v>42</v>
      </c>
      <c r="BX61"/>
    </row>
    <row r="62" spans="1:76" ht="14.55" customHeight="1">
      <c r="X62" s="21"/>
      <c r="AR62" s="30" t="s">
        <v>0</v>
      </c>
      <c r="AS62" s="30" t="s">
        <v>131</v>
      </c>
      <c r="AT62" s="57">
        <f>Personnel_Data!D42</f>
        <v>95</v>
      </c>
      <c r="AU62" s="57">
        <f>Personnel_Data!E42</f>
        <v>104</v>
      </c>
      <c r="AV62" s="57">
        <f>Personnel_Data!F42</f>
        <v>97</v>
      </c>
      <c r="AW62" s="57">
        <f>Personnel_Data!G42</f>
        <v>121</v>
      </c>
      <c r="AX62" s="57">
        <f>Personnel_Data!H42</f>
        <v>121</v>
      </c>
      <c r="AY62" s="57">
        <f>Personnel_Data!I42</f>
        <v>35</v>
      </c>
      <c r="BA62" s="15" t="s">
        <v>0</v>
      </c>
      <c r="BB62" s="15" t="s">
        <v>131</v>
      </c>
      <c r="BC62" s="36">
        <f>Personnel_Data!M42</f>
        <v>16</v>
      </c>
      <c r="BD62" s="36">
        <f>Personnel_Data!N42</f>
        <v>18</v>
      </c>
      <c r="BE62" s="36">
        <f>Personnel_Data!O42</f>
        <v>30</v>
      </c>
      <c r="BF62" s="36">
        <f>Personnel_Data!P42</f>
        <v>29</v>
      </c>
      <c r="BG62" s="36">
        <f>Personnel_Data!Q42</f>
        <v>48</v>
      </c>
      <c r="BH62" s="36">
        <f>Personnel_Data!R42</f>
        <v>35</v>
      </c>
      <c r="BX62"/>
    </row>
    <row r="63" spans="1:76" ht="14.55" customHeight="1">
      <c r="X63" s="21"/>
      <c r="AR63" s="30" t="s">
        <v>1</v>
      </c>
      <c r="AS63" s="30" t="s">
        <v>130</v>
      </c>
      <c r="AT63" s="57">
        <f>Personnel_Data!D43</f>
        <v>192</v>
      </c>
      <c r="AU63" s="57">
        <f>Personnel_Data!E43</f>
        <v>224</v>
      </c>
      <c r="AV63" s="57">
        <f>Personnel_Data!F43</f>
        <v>146</v>
      </c>
      <c r="AW63" s="57">
        <f>Personnel_Data!G43</f>
        <v>164</v>
      </c>
      <c r="AX63" s="57">
        <f>Personnel_Data!H43</f>
        <v>209</v>
      </c>
      <c r="AY63" s="57">
        <f>Personnel_Data!I43</f>
        <v>31</v>
      </c>
      <c r="BA63" s="15" t="s">
        <v>1</v>
      </c>
      <c r="BB63" s="15" t="s">
        <v>130</v>
      </c>
      <c r="BC63" s="36">
        <f>Personnel_Data!M43</f>
        <v>30</v>
      </c>
      <c r="BD63" s="36">
        <f>Personnel_Data!N43</f>
        <v>59</v>
      </c>
      <c r="BE63" s="36">
        <f>Personnel_Data!O43</f>
        <v>19</v>
      </c>
      <c r="BF63" s="36">
        <f>Personnel_Data!P43</f>
        <v>30</v>
      </c>
      <c r="BG63" s="36">
        <f>Personnel_Data!Q43</f>
        <v>28</v>
      </c>
      <c r="BH63" s="36">
        <f>Personnel_Data!R43</f>
        <v>31</v>
      </c>
      <c r="BX63"/>
    </row>
    <row r="64" spans="1:76" ht="14.55" customHeight="1">
      <c r="X64" s="21"/>
      <c r="AR64" s="30" t="s">
        <v>2</v>
      </c>
      <c r="AS64" s="30" t="s">
        <v>132</v>
      </c>
      <c r="AT64" s="57">
        <f>Personnel_Data!D44</f>
        <v>90</v>
      </c>
      <c r="AU64" s="57">
        <f>Personnel_Data!E44</f>
        <v>85</v>
      </c>
      <c r="AV64" s="57">
        <f>Personnel_Data!F44</f>
        <v>83</v>
      </c>
      <c r="AW64" s="57">
        <f>Personnel_Data!G44</f>
        <v>82</v>
      </c>
      <c r="AX64" s="57">
        <f>Personnel_Data!H44</f>
        <v>111</v>
      </c>
      <c r="AY64" s="57">
        <f>Personnel_Data!I44</f>
        <v>5</v>
      </c>
      <c r="BA64" s="15" t="s">
        <v>2</v>
      </c>
      <c r="BB64" s="15" t="s">
        <v>132</v>
      </c>
      <c r="BC64" s="36">
        <f>Personnel_Data!M44</f>
        <v>1</v>
      </c>
      <c r="BD64" s="36">
        <f>Personnel_Data!N44</f>
        <v>6</v>
      </c>
      <c r="BE64" s="36">
        <f>Personnel_Data!O44</f>
        <v>17</v>
      </c>
      <c r="BF64" s="36">
        <f>Personnel_Data!P44</f>
        <v>11</v>
      </c>
      <c r="BG64" s="36">
        <f>Personnel_Data!Q44</f>
        <v>20</v>
      </c>
      <c r="BH64" s="36">
        <f>Personnel_Data!R44</f>
        <v>5</v>
      </c>
      <c r="BX64"/>
    </row>
    <row r="65" spans="1:76" ht="14.55" customHeight="1">
      <c r="X65" s="21"/>
      <c r="AR65" s="30" t="s">
        <v>3</v>
      </c>
      <c r="AS65" s="30" t="s">
        <v>133</v>
      </c>
      <c r="AT65" s="57">
        <f>Personnel_Data!D45</f>
        <v>170</v>
      </c>
      <c r="AU65" s="57">
        <f>Personnel_Data!E45</f>
        <v>198</v>
      </c>
      <c r="AV65" s="57">
        <f>Personnel_Data!F45</f>
        <v>146</v>
      </c>
      <c r="AW65" s="57">
        <f>Personnel_Data!G45</f>
        <v>181</v>
      </c>
      <c r="AX65" s="57">
        <f>Personnel_Data!H45</f>
        <v>229</v>
      </c>
      <c r="AY65" s="57">
        <f>Personnel_Data!I45</f>
        <v>52</v>
      </c>
      <c r="BA65" s="15" t="s">
        <v>3</v>
      </c>
      <c r="BB65" s="15" t="s">
        <v>133</v>
      </c>
      <c r="BC65" s="36">
        <f>Personnel_Data!M45</f>
        <v>33</v>
      </c>
      <c r="BD65" s="36">
        <f>Personnel_Data!N45</f>
        <v>36</v>
      </c>
      <c r="BE65" s="36">
        <f>Personnel_Data!O45</f>
        <v>27</v>
      </c>
      <c r="BF65" s="36">
        <f>Personnel_Data!P45</f>
        <v>26</v>
      </c>
      <c r="BG65" s="36">
        <f>Personnel_Data!Q45</f>
        <v>54</v>
      </c>
      <c r="BH65" s="36">
        <f>Personnel_Data!R45</f>
        <v>52</v>
      </c>
      <c r="BX65"/>
    </row>
    <row r="66" spans="1:76" ht="14.55" customHeight="1">
      <c r="X66" s="21"/>
      <c r="AR66" s="30" t="s">
        <v>4</v>
      </c>
      <c r="AS66" s="30" t="s">
        <v>134</v>
      </c>
      <c r="AT66" s="57">
        <f>Personnel_Data!D46</f>
        <v>363</v>
      </c>
      <c r="AU66" s="57">
        <f>Personnel_Data!E46</f>
        <v>385</v>
      </c>
      <c r="AV66" s="57">
        <f>Personnel_Data!F46</f>
        <v>368</v>
      </c>
      <c r="AW66" s="57">
        <f>Personnel_Data!G46</f>
        <v>383</v>
      </c>
      <c r="AX66" s="57">
        <f>Personnel_Data!H46</f>
        <v>366</v>
      </c>
      <c r="AY66" s="57">
        <f>Personnel_Data!I46</f>
        <v>82</v>
      </c>
      <c r="BA66" s="15" t="s">
        <v>4</v>
      </c>
      <c r="BB66" s="15" t="s">
        <v>134</v>
      </c>
      <c r="BC66" s="36">
        <f>Personnel_Data!M46</f>
        <v>79</v>
      </c>
      <c r="BD66" s="36">
        <f>Personnel_Data!N46</f>
        <v>70</v>
      </c>
      <c r="BE66" s="36">
        <f>Personnel_Data!O46</f>
        <v>61</v>
      </c>
      <c r="BF66" s="36">
        <f>Personnel_Data!P46</f>
        <v>87</v>
      </c>
      <c r="BG66" s="36">
        <f>Personnel_Data!Q46</f>
        <v>76</v>
      </c>
      <c r="BH66" s="36">
        <f>Personnel_Data!R46</f>
        <v>82</v>
      </c>
      <c r="BX66"/>
    </row>
    <row r="67" spans="1:76" ht="14.55" customHeight="1">
      <c r="X67" s="21"/>
      <c r="AR67" s="30" t="s">
        <v>5</v>
      </c>
      <c r="AS67" s="30" t="s">
        <v>135</v>
      </c>
      <c r="AT67" s="57">
        <f>Personnel_Data!D47</f>
        <v>121</v>
      </c>
      <c r="AU67" s="57">
        <f>Personnel_Data!E47</f>
        <v>140</v>
      </c>
      <c r="AV67" s="57">
        <f>Personnel_Data!F47</f>
        <v>83</v>
      </c>
      <c r="AW67" s="57">
        <f>Personnel_Data!G47</f>
        <v>121</v>
      </c>
      <c r="AX67" s="57">
        <f>Personnel_Data!H47</f>
        <v>127</v>
      </c>
      <c r="AY67" s="57">
        <f>Personnel_Data!I47</f>
        <v>12</v>
      </c>
      <c r="BA67" s="15" t="s">
        <v>5</v>
      </c>
      <c r="BB67" s="15" t="s">
        <v>135</v>
      </c>
      <c r="BC67" s="36">
        <f>Personnel_Data!M47</f>
        <v>25</v>
      </c>
      <c r="BD67" s="36">
        <f>Personnel_Data!N47</f>
        <v>32</v>
      </c>
      <c r="BE67" s="36">
        <f>Personnel_Data!O47</f>
        <v>15</v>
      </c>
      <c r="BF67" s="36">
        <f>Personnel_Data!P47</f>
        <v>9</v>
      </c>
      <c r="BG67" s="36">
        <f>Personnel_Data!Q47</f>
        <v>29</v>
      </c>
      <c r="BH67" s="36">
        <f>Personnel_Data!R47</f>
        <v>12</v>
      </c>
      <c r="BX67"/>
    </row>
    <row r="68" spans="1:76" ht="14.55" customHeight="1">
      <c r="X68" s="21"/>
      <c r="AR68" s="30" t="s">
        <v>6</v>
      </c>
      <c r="AS68" s="30" t="s">
        <v>136</v>
      </c>
      <c r="AT68" s="57">
        <f>Personnel_Data!D48</f>
        <v>59</v>
      </c>
      <c r="AU68" s="57">
        <f>Personnel_Data!E48</f>
        <v>84</v>
      </c>
      <c r="AV68" s="57">
        <f>Personnel_Data!F48</f>
        <v>81</v>
      </c>
      <c r="AW68" s="57">
        <f>Personnel_Data!G48</f>
        <v>101</v>
      </c>
      <c r="AX68" s="57">
        <f>Personnel_Data!H48</f>
        <v>87</v>
      </c>
      <c r="AY68" s="57">
        <f>Personnel_Data!I48</f>
        <v>30</v>
      </c>
      <c r="BA68" s="15" t="s">
        <v>6</v>
      </c>
      <c r="BB68" s="15" t="s">
        <v>136</v>
      </c>
      <c r="BC68" s="36">
        <f>Personnel_Data!M48</f>
        <v>6</v>
      </c>
      <c r="BD68" s="36">
        <f>Personnel_Data!N48</f>
        <v>18</v>
      </c>
      <c r="BE68" s="36">
        <f>Personnel_Data!O48</f>
        <v>9</v>
      </c>
      <c r="BF68" s="36">
        <f>Personnel_Data!P48</f>
        <v>16</v>
      </c>
      <c r="BG68" s="36">
        <f>Personnel_Data!Q48</f>
        <v>14</v>
      </c>
      <c r="BH68" s="36">
        <f>Personnel_Data!R48</f>
        <v>30</v>
      </c>
      <c r="BX68"/>
    </row>
    <row r="69" spans="1:76" ht="14.55" customHeight="1">
      <c r="X69" s="21"/>
      <c r="AR69" s="30" t="s">
        <v>7</v>
      </c>
      <c r="AS69" s="30" t="s">
        <v>137</v>
      </c>
      <c r="AT69" s="57">
        <f>Personnel_Data!D49</f>
        <v>93</v>
      </c>
      <c r="AU69" s="57">
        <f>Personnel_Data!E49</f>
        <v>37</v>
      </c>
      <c r="AV69" s="57">
        <f>Personnel_Data!F49</f>
        <v>74</v>
      </c>
      <c r="AW69" s="57">
        <f>Personnel_Data!G49</f>
        <v>78</v>
      </c>
      <c r="AX69" s="57">
        <f>Personnel_Data!H49</f>
        <v>60</v>
      </c>
      <c r="AY69" s="57">
        <f>Personnel_Data!I49</f>
        <v>23</v>
      </c>
      <c r="BA69" s="15" t="s">
        <v>7</v>
      </c>
      <c r="BB69" s="15" t="s">
        <v>137</v>
      </c>
      <c r="BC69" s="36">
        <f>Personnel_Data!M49</f>
        <v>12</v>
      </c>
      <c r="BD69" s="36">
        <f>Personnel_Data!N49</f>
        <v>7</v>
      </c>
      <c r="BE69" s="36">
        <f>Personnel_Data!O49</f>
        <v>2</v>
      </c>
      <c r="BF69" s="36">
        <f>Personnel_Data!P49</f>
        <v>12</v>
      </c>
      <c r="BG69" s="36">
        <f>Personnel_Data!Q49</f>
        <v>14</v>
      </c>
      <c r="BH69" s="36">
        <f>Personnel_Data!R49</f>
        <v>23</v>
      </c>
      <c r="BX69"/>
    </row>
    <row r="70" spans="1:76" ht="14.55" customHeight="1">
      <c r="X70" s="21"/>
      <c r="AR70" s="30" t="s">
        <v>8</v>
      </c>
      <c r="AS70" s="30" t="s">
        <v>138</v>
      </c>
      <c r="AT70" s="57">
        <f>Personnel_Data!D50</f>
        <v>37</v>
      </c>
      <c r="AU70" s="57">
        <f>Personnel_Data!E50</f>
        <v>82</v>
      </c>
      <c r="AV70" s="57">
        <f>Personnel_Data!F50</f>
        <v>42</v>
      </c>
      <c r="AW70" s="57">
        <f>Personnel_Data!G50</f>
        <v>47</v>
      </c>
      <c r="AX70" s="57">
        <f>Personnel_Data!H50</f>
        <v>38</v>
      </c>
      <c r="AY70" s="57">
        <f>Personnel_Data!I50</f>
        <v>6</v>
      </c>
      <c r="BA70" s="15" t="s">
        <v>8</v>
      </c>
      <c r="BB70" s="15" t="s">
        <v>138</v>
      </c>
      <c r="BC70" s="36">
        <f>Personnel_Data!M50</f>
        <v>4</v>
      </c>
      <c r="BD70" s="36">
        <f>Personnel_Data!N50</f>
        <v>13</v>
      </c>
      <c r="BE70" s="36">
        <f>Personnel_Data!O50</f>
        <v>13</v>
      </c>
      <c r="BF70" s="36">
        <f>Personnel_Data!P50</f>
        <v>11</v>
      </c>
      <c r="BG70" s="36">
        <f>Personnel_Data!Q50</f>
        <v>0</v>
      </c>
      <c r="BH70" s="36">
        <f>Personnel_Data!R50</f>
        <v>6</v>
      </c>
      <c r="BX70"/>
    </row>
    <row r="71" spans="1:76" ht="14.55" customHeight="1">
      <c r="X71" s="21"/>
      <c r="AR71" s="30" t="s">
        <v>9</v>
      </c>
      <c r="AS71" s="30" t="s">
        <v>139</v>
      </c>
      <c r="AT71" s="57">
        <f>Personnel_Data!D51</f>
        <v>55</v>
      </c>
      <c r="AU71" s="57">
        <f>Personnel_Data!E51</f>
        <v>40</v>
      </c>
      <c r="AV71" s="57">
        <f>Personnel_Data!F51</f>
        <v>38</v>
      </c>
      <c r="AW71" s="57">
        <f>Personnel_Data!G51</f>
        <v>37</v>
      </c>
      <c r="AX71" s="57">
        <f>Personnel_Data!H51</f>
        <v>39</v>
      </c>
      <c r="AY71" s="57">
        <f>Personnel_Data!I51</f>
        <v>0</v>
      </c>
      <c r="BA71" s="15" t="s">
        <v>9</v>
      </c>
      <c r="BB71" s="15" t="s">
        <v>139</v>
      </c>
      <c r="BC71" s="36">
        <f>Personnel_Data!M51</f>
        <v>9</v>
      </c>
      <c r="BD71" s="36">
        <f>Personnel_Data!N51</f>
        <v>1</v>
      </c>
      <c r="BE71" s="36">
        <f>Personnel_Data!O51</f>
        <v>0</v>
      </c>
      <c r="BF71" s="36">
        <f>Personnel_Data!P51</f>
        <v>0</v>
      </c>
      <c r="BG71" s="36">
        <f>Personnel_Data!Q51</f>
        <v>11</v>
      </c>
      <c r="BH71" s="36">
        <f>Personnel_Data!R51</f>
        <v>0</v>
      </c>
      <c r="BX71"/>
    </row>
    <row r="72" spans="1:76" ht="14.55" customHeight="1">
      <c r="X72" s="21"/>
      <c r="AR72" s="30" t="s">
        <v>10</v>
      </c>
      <c r="AS72" s="30" t="s">
        <v>140</v>
      </c>
      <c r="AT72" s="57">
        <f>Personnel_Data!D52</f>
        <v>76</v>
      </c>
      <c r="AU72" s="57">
        <f>Personnel_Data!E52</f>
        <v>60</v>
      </c>
      <c r="AV72" s="57">
        <f>Personnel_Data!F52</f>
        <v>66</v>
      </c>
      <c r="AW72" s="57">
        <f>Personnel_Data!G52</f>
        <v>49</v>
      </c>
      <c r="AX72" s="57">
        <f>Personnel_Data!H52</f>
        <v>78</v>
      </c>
      <c r="AY72" s="57">
        <f>Personnel_Data!I52</f>
        <v>8</v>
      </c>
      <c r="BA72" s="15" t="s">
        <v>10</v>
      </c>
      <c r="BB72" s="15" t="s">
        <v>140</v>
      </c>
      <c r="BC72" s="36">
        <f>Personnel_Data!M52</f>
        <v>20</v>
      </c>
      <c r="BD72" s="36">
        <f>Personnel_Data!N52</f>
        <v>7</v>
      </c>
      <c r="BE72" s="36">
        <f>Personnel_Data!O52</f>
        <v>19</v>
      </c>
      <c r="BF72" s="36">
        <f>Personnel_Data!P52</f>
        <v>13</v>
      </c>
      <c r="BG72" s="36">
        <f>Personnel_Data!Q52</f>
        <v>16</v>
      </c>
      <c r="BH72" s="36">
        <f>Personnel_Data!R52</f>
        <v>8</v>
      </c>
      <c r="BX72"/>
    </row>
    <row r="73" spans="1:76" ht="14.55" customHeight="1">
      <c r="X73" s="21"/>
      <c r="AR73" s="30" t="s">
        <v>11</v>
      </c>
      <c r="AS73" s="30" t="s">
        <v>141</v>
      </c>
      <c r="AT73" s="57">
        <f>Personnel_Data!D53</f>
        <v>83</v>
      </c>
      <c r="AU73" s="57">
        <f>Personnel_Data!E53</f>
        <v>115</v>
      </c>
      <c r="AV73" s="57">
        <f>Personnel_Data!F53</f>
        <v>75</v>
      </c>
      <c r="AW73" s="57">
        <f>Personnel_Data!G53</f>
        <v>74</v>
      </c>
      <c r="AX73" s="57">
        <f>Personnel_Data!H53</f>
        <v>53</v>
      </c>
      <c r="AY73" s="57">
        <f>Personnel_Data!I53</f>
        <v>10</v>
      </c>
      <c r="BA73" s="15" t="s">
        <v>11</v>
      </c>
      <c r="BB73" s="15" t="s">
        <v>141</v>
      </c>
      <c r="BC73" s="36">
        <f>Personnel_Data!M53</f>
        <v>11</v>
      </c>
      <c r="BD73" s="36">
        <f>Personnel_Data!N53</f>
        <v>17</v>
      </c>
      <c r="BE73" s="36">
        <f>Personnel_Data!O53</f>
        <v>10</v>
      </c>
      <c r="BF73" s="36">
        <f>Personnel_Data!P53</f>
        <v>20</v>
      </c>
      <c r="BG73" s="36">
        <f>Personnel_Data!Q53</f>
        <v>7</v>
      </c>
      <c r="BH73" s="36">
        <f>Personnel_Data!R53</f>
        <v>10</v>
      </c>
      <c r="BX73"/>
    </row>
    <row r="74" spans="1:76" ht="14.55" customHeight="1">
      <c r="X74" s="21"/>
      <c r="AR74" s="30" t="s">
        <v>12</v>
      </c>
      <c r="AS74" s="30" t="s">
        <v>142</v>
      </c>
      <c r="AT74" s="57">
        <f>Personnel_Data!D54</f>
        <v>104</v>
      </c>
      <c r="AU74" s="57">
        <f>Personnel_Data!E54</f>
        <v>99</v>
      </c>
      <c r="AV74" s="57">
        <f>Personnel_Data!F54</f>
        <v>108</v>
      </c>
      <c r="AW74" s="57">
        <f>Personnel_Data!G54</f>
        <v>86</v>
      </c>
      <c r="AX74" s="57">
        <f>Personnel_Data!H54</f>
        <v>54</v>
      </c>
      <c r="AY74" s="57">
        <f>Personnel_Data!I54</f>
        <v>21</v>
      </c>
      <c r="BA74" s="15" t="s">
        <v>12</v>
      </c>
      <c r="BB74" s="15" t="s">
        <v>142</v>
      </c>
      <c r="BC74" s="36">
        <f>Personnel_Data!M54</f>
        <v>5</v>
      </c>
      <c r="BD74" s="36">
        <f>Personnel_Data!N54</f>
        <v>7</v>
      </c>
      <c r="BE74" s="36">
        <f>Personnel_Data!O54</f>
        <v>13</v>
      </c>
      <c r="BF74" s="36">
        <f>Personnel_Data!P54</f>
        <v>7</v>
      </c>
      <c r="BG74" s="36">
        <f>Personnel_Data!Q54</f>
        <v>10</v>
      </c>
      <c r="BH74" s="36">
        <f>Personnel_Data!R54</f>
        <v>21</v>
      </c>
      <c r="BX74"/>
    </row>
    <row r="75" spans="1:76" ht="14.25" customHeight="1">
      <c r="X75" s="21"/>
      <c r="AR75" s="30" t="s">
        <v>13</v>
      </c>
      <c r="AS75" s="30" t="s">
        <v>143</v>
      </c>
      <c r="AT75" s="57">
        <f>Personnel_Data!D55</f>
        <v>76</v>
      </c>
      <c r="AU75" s="57">
        <f>Personnel_Data!E55</f>
        <v>86</v>
      </c>
      <c r="AV75" s="57">
        <f>Personnel_Data!F55</f>
        <v>53</v>
      </c>
      <c r="AW75" s="57">
        <f>Personnel_Data!G55</f>
        <v>77</v>
      </c>
      <c r="AX75" s="57">
        <f>Personnel_Data!H55</f>
        <v>84</v>
      </c>
      <c r="AY75" s="57">
        <f>Personnel_Data!I55</f>
        <v>9</v>
      </c>
      <c r="BA75" s="15" t="s">
        <v>13</v>
      </c>
      <c r="BB75" s="15" t="s">
        <v>143</v>
      </c>
      <c r="BC75" s="36">
        <f>Personnel_Data!M55</f>
        <v>4</v>
      </c>
      <c r="BD75" s="36">
        <f>Personnel_Data!N55</f>
        <v>11</v>
      </c>
      <c r="BE75" s="36">
        <f>Personnel_Data!O55</f>
        <v>3</v>
      </c>
      <c r="BF75" s="36">
        <f>Personnel_Data!P55</f>
        <v>6</v>
      </c>
      <c r="BG75" s="36">
        <f>Personnel_Data!Q55</f>
        <v>8</v>
      </c>
      <c r="BH75" s="36">
        <f>Personnel_Data!R55</f>
        <v>9</v>
      </c>
      <c r="BX75"/>
    </row>
    <row r="76" spans="1:76" ht="14.55" customHeight="1">
      <c r="X76" s="21"/>
      <c r="Y76" s="16"/>
      <c r="AR76" s="30" t="s">
        <v>14</v>
      </c>
      <c r="AS76" s="30" t="s">
        <v>144</v>
      </c>
      <c r="AT76" s="57">
        <f>Personnel_Data!D56</f>
        <v>30</v>
      </c>
      <c r="AU76" s="57">
        <f>Personnel_Data!E56</f>
        <v>16</v>
      </c>
      <c r="AV76" s="57">
        <f>Personnel_Data!F56</f>
        <v>31</v>
      </c>
      <c r="AW76" s="57">
        <f>Personnel_Data!G56</f>
        <v>32</v>
      </c>
      <c r="AX76" s="57">
        <f>Personnel_Data!H56</f>
        <v>21</v>
      </c>
      <c r="AY76" s="57">
        <f>Personnel_Data!I56</f>
        <v>16</v>
      </c>
      <c r="BA76" s="15" t="s">
        <v>14</v>
      </c>
      <c r="BB76" s="15" t="s">
        <v>144</v>
      </c>
      <c r="BC76" s="36">
        <f>Personnel_Data!M56</f>
        <v>0</v>
      </c>
      <c r="BD76" s="36">
        <f>Personnel_Data!N56</f>
        <v>4</v>
      </c>
      <c r="BE76" s="36">
        <f>Personnel_Data!O56</f>
        <v>16</v>
      </c>
      <c r="BF76" s="36">
        <f>Personnel_Data!P56</f>
        <v>0</v>
      </c>
      <c r="BG76" s="36">
        <f>Personnel_Data!Q56</f>
        <v>7</v>
      </c>
      <c r="BH76" s="36">
        <f>Personnel_Data!R56</f>
        <v>16</v>
      </c>
      <c r="BX76"/>
    </row>
    <row r="77" spans="1:76" ht="19.2" customHeight="1">
      <c r="X77" s="21"/>
      <c r="Y77" s="16"/>
      <c r="AR77" s="30" t="s">
        <v>15</v>
      </c>
      <c r="AS77" s="30" t="s">
        <v>145</v>
      </c>
      <c r="AT77" s="57">
        <f>Personnel_Data!D57</f>
        <v>25</v>
      </c>
      <c r="AU77" s="57">
        <f>Personnel_Data!E57</f>
        <v>32</v>
      </c>
      <c r="AV77" s="57">
        <f>Personnel_Data!F57</f>
        <v>19</v>
      </c>
      <c r="AW77" s="57">
        <f>Personnel_Data!G57</f>
        <v>11</v>
      </c>
      <c r="AX77" s="57">
        <f>Personnel_Data!H57</f>
        <v>17</v>
      </c>
      <c r="AY77" s="57">
        <f>Personnel_Data!I57</f>
        <v>2</v>
      </c>
      <c r="BA77" s="15" t="s">
        <v>15</v>
      </c>
      <c r="BB77" s="15" t="s">
        <v>145</v>
      </c>
      <c r="BC77" s="36">
        <f>Personnel_Data!M57</f>
        <v>5</v>
      </c>
      <c r="BD77" s="36">
        <f>Personnel_Data!N57</f>
        <v>5</v>
      </c>
      <c r="BE77" s="36">
        <f>Personnel_Data!O57</f>
        <v>5</v>
      </c>
      <c r="BF77" s="36">
        <f>Personnel_Data!P57</f>
        <v>0</v>
      </c>
      <c r="BG77" s="36">
        <f>Personnel_Data!Q57</f>
        <v>1</v>
      </c>
      <c r="BH77" s="36">
        <f>Personnel_Data!R57</f>
        <v>2</v>
      </c>
      <c r="BX77"/>
    </row>
    <row r="78" spans="1:76" s="10" customFormat="1" ht="14.5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21"/>
      <c r="Y78" s="16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 s="4"/>
      <c r="AR78" s="30" t="s">
        <v>27</v>
      </c>
      <c r="AS78" s="30" t="s">
        <v>29</v>
      </c>
      <c r="AT78" s="57">
        <f>Personnel_Data!D58</f>
        <v>1669</v>
      </c>
      <c r="AU78" s="57">
        <f>Personnel_Data!E58</f>
        <v>1787</v>
      </c>
      <c r="AV78" s="57">
        <f>Personnel_Data!F58</f>
        <v>1510</v>
      </c>
      <c r="AW78" s="57">
        <f>Personnel_Data!G58</f>
        <v>1644</v>
      </c>
      <c r="AX78" s="57">
        <f>Personnel_Data!H58</f>
        <v>1694</v>
      </c>
      <c r="AY78" s="57">
        <f>Personnel_Data!I58</f>
        <v>342</v>
      </c>
      <c r="AZ78"/>
      <c r="BA78" s="15" t="s">
        <v>27</v>
      </c>
      <c r="BB78" s="14" t="s">
        <v>29</v>
      </c>
      <c r="BC78" s="36">
        <f>Personnel_Data!M58</f>
        <v>260</v>
      </c>
      <c r="BD78" s="36">
        <f>Personnel_Data!N58</f>
        <v>311</v>
      </c>
      <c r="BE78" s="36">
        <f>Personnel_Data!O58</f>
        <v>259</v>
      </c>
      <c r="BF78" s="36">
        <f>Personnel_Data!P58</f>
        <v>277</v>
      </c>
      <c r="BG78" s="36">
        <f>Personnel_Data!Q58</f>
        <v>343</v>
      </c>
      <c r="BH78" s="36">
        <f>Personnel_Data!R58</f>
        <v>342</v>
      </c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X78"/>
    </row>
    <row r="79" spans="1:76" ht="14.55" customHeight="1">
      <c r="X79" s="21"/>
      <c r="Y79" s="16"/>
      <c r="AR79"/>
      <c r="BX79"/>
    </row>
    <row r="80" spans="1:76" ht="14.55" customHeight="1">
      <c r="X80" s="21"/>
      <c r="Y80" s="16"/>
      <c r="AR80"/>
      <c r="AS80" s="3" t="s">
        <v>76</v>
      </c>
      <c r="BB80" s="3" t="s">
        <v>76</v>
      </c>
      <c r="BX80"/>
    </row>
    <row r="81" spans="24:76" ht="14.55" customHeight="1">
      <c r="X81" s="21"/>
      <c r="Y81" s="16"/>
      <c r="AR81" s="115" t="s">
        <v>21</v>
      </c>
      <c r="AS81" s="115" t="s">
        <v>20</v>
      </c>
      <c r="AT81" s="115" t="s">
        <v>30</v>
      </c>
      <c r="AU81" s="115" t="s">
        <v>22</v>
      </c>
      <c r="AV81" s="115" t="s">
        <v>39</v>
      </c>
      <c r="AW81" s="115" t="s">
        <v>40</v>
      </c>
      <c r="AX81" s="115" t="s">
        <v>41</v>
      </c>
      <c r="AY81" s="115" t="s">
        <v>42</v>
      </c>
      <c r="AZ81" s="17"/>
      <c r="BA81" s="114" t="s">
        <v>21</v>
      </c>
      <c r="BB81" s="114" t="s">
        <v>20</v>
      </c>
      <c r="BC81" s="114" t="s">
        <v>30</v>
      </c>
      <c r="BD81" s="114" t="s">
        <v>22</v>
      </c>
      <c r="BE81" s="114" t="s">
        <v>39</v>
      </c>
      <c r="BF81" s="114" t="s">
        <v>40</v>
      </c>
      <c r="BG81" s="114" t="s">
        <v>41</v>
      </c>
      <c r="BH81" s="114" t="s">
        <v>42</v>
      </c>
      <c r="BX81"/>
    </row>
    <row r="82" spans="24:76" ht="14.55" customHeight="1">
      <c r="X82" s="21"/>
      <c r="Y82" s="16"/>
      <c r="AR82" s="115" t="s">
        <v>0</v>
      </c>
      <c r="AS82" s="115" t="s">
        <v>131</v>
      </c>
      <c r="AT82" s="119">
        <f>Augmentation_Data!D62</f>
        <v>57.5</v>
      </c>
      <c r="AU82" s="119">
        <f>Augmentation_Data!E62</f>
        <v>14</v>
      </c>
      <c r="AV82" s="119">
        <f>Augmentation_Data!F62</f>
        <v>57</v>
      </c>
      <c r="AW82" s="119">
        <f>Augmentation_Data!G62</f>
        <v>80.75</v>
      </c>
      <c r="AX82" s="119">
        <f>Augmentation_Data!H62</f>
        <v>48</v>
      </c>
      <c r="AY82" s="119">
        <f>Augmentation_Data!I62</f>
        <v>0</v>
      </c>
      <c r="BA82" s="115" t="s">
        <v>0</v>
      </c>
      <c r="BB82" s="115" t="s">
        <v>131</v>
      </c>
      <c r="BC82" s="116">
        <f>Augmentation_Data!M62</f>
        <v>10</v>
      </c>
      <c r="BD82" s="116">
        <f>Augmentation_Data!N62</f>
        <v>14</v>
      </c>
      <c r="BE82" s="116">
        <f>Augmentation_Data!O62</f>
        <v>53.25</v>
      </c>
      <c r="BF82" s="116">
        <f>Augmentation_Data!P62</f>
        <v>5.5</v>
      </c>
      <c r="BG82" s="116">
        <f>Augmentation_Data!Q62</f>
        <v>41</v>
      </c>
      <c r="BH82" s="116">
        <f>Augmentation_Data!R62</f>
        <v>0</v>
      </c>
      <c r="BX82"/>
    </row>
    <row r="83" spans="24:76" ht="14.55" customHeight="1">
      <c r="X83" s="21"/>
      <c r="Y83" s="16"/>
      <c r="AR83" s="115" t="s">
        <v>1</v>
      </c>
      <c r="AS83" s="115" t="s">
        <v>130</v>
      </c>
      <c r="AT83" s="119">
        <f>Augmentation_Data!D63</f>
        <v>490</v>
      </c>
      <c r="AU83" s="119">
        <f>Augmentation_Data!E63</f>
        <v>704.8</v>
      </c>
      <c r="AV83" s="119">
        <f>Augmentation_Data!F63</f>
        <v>999</v>
      </c>
      <c r="AW83" s="119">
        <f>Augmentation_Data!G63</f>
        <v>1134.75</v>
      </c>
      <c r="AX83" s="119">
        <f>Augmentation_Data!H63</f>
        <v>1453</v>
      </c>
      <c r="AY83" s="119">
        <f>Augmentation_Data!I63</f>
        <v>597</v>
      </c>
      <c r="BA83" s="115" t="s">
        <v>1</v>
      </c>
      <c r="BB83" s="115" t="s">
        <v>130</v>
      </c>
      <c r="BC83" s="116">
        <f>Augmentation_Data!M63</f>
        <v>148.5</v>
      </c>
      <c r="BD83" s="116">
        <f>Augmentation_Data!N63</f>
        <v>445.5</v>
      </c>
      <c r="BE83" s="116">
        <f>Augmentation_Data!O63</f>
        <v>276.5</v>
      </c>
      <c r="BF83" s="116">
        <f>Augmentation_Data!P63</f>
        <v>289.75</v>
      </c>
      <c r="BG83" s="116">
        <f>Augmentation_Data!Q63</f>
        <v>618.5</v>
      </c>
      <c r="BH83" s="116">
        <f>Augmentation_Data!R63</f>
        <v>597</v>
      </c>
      <c r="BX83"/>
    </row>
    <row r="84" spans="24:76" ht="14.55" customHeight="1">
      <c r="X84" s="21"/>
      <c r="Y84" s="16"/>
      <c r="AR84" s="115" t="s">
        <v>2</v>
      </c>
      <c r="AS84" s="115" t="s">
        <v>132</v>
      </c>
      <c r="AT84" s="119">
        <f>Augmentation_Data!D64</f>
        <v>290.91999999999996</v>
      </c>
      <c r="AU84" s="119">
        <f>Augmentation_Data!E64</f>
        <v>258</v>
      </c>
      <c r="AV84" s="119">
        <f>Augmentation_Data!F64</f>
        <v>214</v>
      </c>
      <c r="AW84" s="119">
        <f>Augmentation_Data!G64</f>
        <v>345</v>
      </c>
      <c r="AX84" s="119">
        <f>Augmentation_Data!H64</f>
        <v>386</v>
      </c>
      <c r="AY84" s="119">
        <f>Augmentation_Data!I64</f>
        <v>319.5</v>
      </c>
      <c r="BA84" s="115" t="s">
        <v>2</v>
      </c>
      <c r="BB84" s="115" t="s">
        <v>132</v>
      </c>
      <c r="BC84" s="116">
        <f>Augmentation_Data!M64</f>
        <v>177.92000000000002</v>
      </c>
      <c r="BD84" s="116">
        <f>Augmentation_Data!N64</f>
        <v>90</v>
      </c>
      <c r="BE84" s="116">
        <f>Augmentation_Data!O64</f>
        <v>107</v>
      </c>
      <c r="BF84" s="116">
        <f>Augmentation_Data!P64</f>
        <v>152</v>
      </c>
      <c r="BG84" s="116">
        <f>Augmentation_Data!Q64</f>
        <v>183</v>
      </c>
      <c r="BH84" s="116">
        <f>Augmentation_Data!R64</f>
        <v>319.5</v>
      </c>
      <c r="BX84"/>
    </row>
    <row r="85" spans="24:76" ht="14.55" customHeight="1">
      <c r="X85" s="21"/>
      <c r="Y85" s="16"/>
      <c r="AR85" s="115" t="s">
        <v>3</v>
      </c>
      <c r="AS85" s="115" t="s">
        <v>133</v>
      </c>
      <c r="AT85" s="119">
        <f>Augmentation_Data!D65</f>
        <v>1394.55</v>
      </c>
      <c r="AU85" s="119">
        <f>Augmentation_Data!E65</f>
        <v>855.67000000000007</v>
      </c>
      <c r="AV85" s="119">
        <f>Augmentation_Data!F65</f>
        <v>557.51</v>
      </c>
      <c r="AW85" s="119">
        <f>Augmentation_Data!G65</f>
        <v>1109.6599999999999</v>
      </c>
      <c r="AX85" s="119">
        <f>Augmentation_Data!H65</f>
        <v>753.62</v>
      </c>
      <c r="AY85" s="119">
        <f>Augmentation_Data!I65</f>
        <v>230.5</v>
      </c>
      <c r="BA85" s="115" t="s">
        <v>3</v>
      </c>
      <c r="BB85" s="115" t="s">
        <v>133</v>
      </c>
      <c r="BC85" s="116">
        <f>Augmentation_Data!M65</f>
        <v>871.41</v>
      </c>
      <c r="BD85" s="116">
        <f>Augmentation_Data!N65</f>
        <v>506.67</v>
      </c>
      <c r="BE85" s="116">
        <f>Augmentation_Data!O65</f>
        <v>288.99</v>
      </c>
      <c r="BF85" s="116">
        <f>Augmentation_Data!P65</f>
        <v>571.66</v>
      </c>
      <c r="BG85" s="116">
        <f>Augmentation_Data!Q65</f>
        <v>563.72</v>
      </c>
      <c r="BH85" s="116">
        <f>Augmentation_Data!R65</f>
        <v>230.5</v>
      </c>
      <c r="BX85"/>
    </row>
    <row r="86" spans="24:76" ht="14.55" customHeight="1">
      <c r="X86" s="21"/>
      <c r="Y86" s="16"/>
      <c r="AR86" s="115" t="s">
        <v>4</v>
      </c>
      <c r="AS86" s="115" t="s">
        <v>134</v>
      </c>
      <c r="AT86" s="119">
        <f>Augmentation_Data!D66</f>
        <v>2661.25</v>
      </c>
      <c r="AU86" s="119">
        <f>Augmentation_Data!E66</f>
        <v>2629.5</v>
      </c>
      <c r="AV86" s="119">
        <f>Augmentation_Data!F66</f>
        <v>2362.5</v>
      </c>
      <c r="AW86" s="119">
        <f>Augmentation_Data!G66</f>
        <v>3240.41</v>
      </c>
      <c r="AX86" s="119">
        <f>Augmentation_Data!H66</f>
        <v>3987.12</v>
      </c>
      <c r="AY86" s="119">
        <f>Augmentation_Data!I66</f>
        <v>895</v>
      </c>
      <c r="BA86" s="115" t="s">
        <v>4</v>
      </c>
      <c r="BB86" s="115" t="s">
        <v>134</v>
      </c>
      <c r="BC86" s="116">
        <f>Augmentation_Data!M66</f>
        <v>1566.75</v>
      </c>
      <c r="BD86" s="116">
        <f>Augmentation_Data!N66</f>
        <v>1337.5</v>
      </c>
      <c r="BE86" s="116">
        <f>Augmentation_Data!O66</f>
        <v>1559.5</v>
      </c>
      <c r="BF86" s="116">
        <f>Augmentation_Data!P66</f>
        <v>1124.4099999999999</v>
      </c>
      <c r="BG86" s="116">
        <f>Augmentation_Data!Q66</f>
        <v>1579.5</v>
      </c>
      <c r="BH86" s="116">
        <f>Augmentation_Data!R66</f>
        <v>895</v>
      </c>
      <c r="BX86"/>
    </row>
    <row r="87" spans="24:76" ht="14.55" customHeight="1">
      <c r="X87" s="21"/>
      <c r="Y87" s="16"/>
      <c r="AR87" s="115" t="s">
        <v>5</v>
      </c>
      <c r="AS87" s="115" t="s">
        <v>135</v>
      </c>
      <c r="AT87" s="119">
        <f>Augmentation_Data!D67</f>
        <v>494.42</v>
      </c>
      <c r="AU87" s="119">
        <f>Augmentation_Data!E67</f>
        <v>817.5</v>
      </c>
      <c r="AV87" s="119">
        <f>Augmentation_Data!F67</f>
        <v>1</v>
      </c>
      <c r="AW87" s="119">
        <f>Augmentation_Data!G67</f>
        <v>327.25</v>
      </c>
      <c r="AX87" s="119">
        <f>Augmentation_Data!H67</f>
        <v>40.75</v>
      </c>
      <c r="AY87" s="119">
        <f>Augmentation_Data!I67</f>
        <v>87.25</v>
      </c>
      <c r="BA87" s="115" t="s">
        <v>5</v>
      </c>
      <c r="BB87" s="115" t="s">
        <v>135</v>
      </c>
      <c r="BC87" s="116">
        <f>Augmentation_Data!M67</f>
        <v>298.67</v>
      </c>
      <c r="BD87" s="116">
        <f>Augmentation_Data!N67</f>
        <v>807.5</v>
      </c>
      <c r="BE87" s="116">
        <f>Augmentation_Data!O67</f>
        <v>1</v>
      </c>
      <c r="BF87" s="116">
        <f>Augmentation_Data!P67</f>
        <v>145.75</v>
      </c>
      <c r="BG87" s="116">
        <f>Augmentation_Data!Q67</f>
        <v>16.75</v>
      </c>
      <c r="BH87" s="116">
        <f>Augmentation_Data!R67</f>
        <v>87.25</v>
      </c>
      <c r="BX87"/>
    </row>
    <row r="88" spans="24:76" ht="14.55" customHeight="1">
      <c r="X88" s="21"/>
      <c r="Y88" s="16"/>
      <c r="AR88" s="115" t="s">
        <v>6</v>
      </c>
      <c r="AS88" s="115" t="s">
        <v>136</v>
      </c>
      <c r="AT88" s="119">
        <f>Augmentation_Data!D68</f>
        <v>0</v>
      </c>
      <c r="AU88" s="119">
        <f>Augmentation_Data!E68</f>
        <v>0</v>
      </c>
      <c r="AV88" s="119">
        <f>Augmentation_Data!F68</f>
        <v>0</v>
      </c>
      <c r="AW88" s="119">
        <f>Augmentation_Data!G68</f>
        <v>0</v>
      </c>
      <c r="AX88" s="119">
        <f>Augmentation_Data!H68</f>
        <v>4.5</v>
      </c>
      <c r="AY88" s="119">
        <f>Augmentation_Data!I68</f>
        <v>12</v>
      </c>
      <c r="BA88" s="115" t="s">
        <v>6</v>
      </c>
      <c r="BB88" s="115" t="s">
        <v>136</v>
      </c>
      <c r="BC88" s="116">
        <f>Augmentation_Data!M68</f>
        <v>0</v>
      </c>
      <c r="BD88" s="116">
        <f>Augmentation_Data!N68</f>
        <v>0</v>
      </c>
      <c r="BE88" s="116">
        <f>Augmentation_Data!O68</f>
        <v>0</v>
      </c>
      <c r="BF88" s="116">
        <f>Augmentation_Data!P68</f>
        <v>0</v>
      </c>
      <c r="BG88" s="116">
        <f>Augmentation_Data!Q68</f>
        <v>1.5</v>
      </c>
      <c r="BH88" s="116">
        <f>Augmentation_Data!R68</f>
        <v>12</v>
      </c>
      <c r="BX88"/>
    </row>
    <row r="89" spans="24:76" ht="14.55" customHeight="1">
      <c r="X89" s="21"/>
      <c r="Y89" s="16"/>
      <c r="AR89" s="115" t="s">
        <v>7</v>
      </c>
      <c r="AS89" s="115" t="s">
        <v>137</v>
      </c>
      <c r="AT89" s="119">
        <f>Augmentation_Data!D69</f>
        <v>0</v>
      </c>
      <c r="AU89" s="119">
        <f>Augmentation_Data!E69</f>
        <v>80</v>
      </c>
      <c r="AV89" s="119">
        <f>Augmentation_Data!F69</f>
        <v>66</v>
      </c>
      <c r="AW89" s="119">
        <f>Augmentation_Data!G69</f>
        <v>53.5</v>
      </c>
      <c r="AX89" s="119">
        <f>Augmentation_Data!H69</f>
        <v>10.75</v>
      </c>
      <c r="AY89" s="119">
        <f>Augmentation_Data!I69</f>
        <v>25.5</v>
      </c>
      <c r="BA89" s="115" t="s">
        <v>7</v>
      </c>
      <c r="BB89" s="115" t="s">
        <v>137</v>
      </c>
      <c r="BC89" s="116">
        <f>Augmentation_Data!M69</f>
        <v>0</v>
      </c>
      <c r="BD89" s="116">
        <f>Augmentation_Data!N69</f>
        <v>80</v>
      </c>
      <c r="BE89" s="116">
        <f>Augmentation_Data!O69</f>
        <v>44</v>
      </c>
      <c r="BF89" s="116">
        <f>Augmentation_Data!P69</f>
        <v>24</v>
      </c>
      <c r="BG89" s="116">
        <f>Augmentation_Data!Q69</f>
        <v>5.25</v>
      </c>
      <c r="BH89" s="116">
        <f>Augmentation_Data!R69</f>
        <v>25.5</v>
      </c>
      <c r="BX89"/>
    </row>
    <row r="90" spans="24:76" ht="14.55" customHeight="1">
      <c r="X90" s="21"/>
      <c r="Y90" s="16"/>
      <c r="AR90" s="115" t="s">
        <v>8</v>
      </c>
      <c r="AS90" s="115" t="s">
        <v>138</v>
      </c>
      <c r="AT90" s="119">
        <f>Augmentation_Data!D70</f>
        <v>192</v>
      </c>
      <c r="AU90" s="119">
        <f>Augmentation_Data!E70</f>
        <v>124</v>
      </c>
      <c r="AV90" s="119">
        <f>Augmentation_Data!F70</f>
        <v>42</v>
      </c>
      <c r="AW90" s="119">
        <f>Augmentation_Data!G70</f>
        <v>8</v>
      </c>
      <c r="AX90" s="119">
        <f>Augmentation_Data!H70</f>
        <v>796</v>
      </c>
      <c r="AY90" s="119">
        <f>Augmentation_Data!I70</f>
        <v>552</v>
      </c>
      <c r="BA90" s="115" t="s">
        <v>8</v>
      </c>
      <c r="BB90" s="115" t="s">
        <v>138</v>
      </c>
      <c r="BC90" s="116">
        <f>Augmentation_Data!M70</f>
        <v>85</v>
      </c>
      <c r="BD90" s="116">
        <f>Augmentation_Data!N70</f>
        <v>106.5</v>
      </c>
      <c r="BE90" s="116">
        <f>Augmentation_Data!O70</f>
        <v>22</v>
      </c>
      <c r="BF90" s="116">
        <f>Augmentation_Data!P70</f>
        <v>0</v>
      </c>
      <c r="BG90" s="116">
        <f>Augmentation_Data!Q70</f>
        <v>147.5</v>
      </c>
      <c r="BH90" s="116">
        <f>Augmentation_Data!R70</f>
        <v>552</v>
      </c>
      <c r="BX90"/>
    </row>
    <row r="91" spans="24:76" ht="14.55" customHeight="1">
      <c r="X91" s="21"/>
      <c r="Y91" s="16"/>
      <c r="AR91" s="115" t="s">
        <v>9</v>
      </c>
      <c r="AS91" s="115" t="s">
        <v>139</v>
      </c>
      <c r="AT91" s="119">
        <f>Augmentation_Data!D71</f>
        <v>0</v>
      </c>
      <c r="AU91" s="119">
        <f>Augmentation_Data!E71</f>
        <v>0</v>
      </c>
      <c r="AV91" s="119">
        <f>Augmentation_Data!F71</f>
        <v>0</v>
      </c>
      <c r="AW91" s="119">
        <f>Augmentation_Data!G71</f>
        <v>0</v>
      </c>
      <c r="AX91" s="119">
        <f>Augmentation_Data!H71</f>
        <v>64</v>
      </c>
      <c r="AY91" s="119">
        <f>Augmentation_Data!I71</f>
        <v>0</v>
      </c>
      <c r="BA91" s="115" t="s">
        <v>9</v>
      </c>
      <c r="BB91" s="115" t="s">
        <v>139</v>
      </c>
      <c r="BC91" s="116">
        <f>Augmentation_Data!M71</f>
        <v>0</v>
      </c>
      <c r="BD91" s="116">
        <f>Augmentation_Data!N71</f>
        <v>0</v>
      </c>
      <c r="BE91" s="116">
        <f>Augmentation_Data!O71</f>
        <v>0</v>
      </c>
      <c r="BF91" s="116">
        <f>Augmentation_Data!P71</f>
        <v>0</v>
      </c>
      <c r="BG91" s="116">
        <f>Augmentation_Data!Q71</f>
        <v>58</v>
      </c>
      <c r="BH91" s="116">
        <f>Augmentation_Data!R71</f>
        <v>0</v>
      </c>
      <c r="BX91"/>
    </row>
    <row r="92" spans="24:76" ht="14.55" customHeight="1">
      <c r="X92" s="21"/>
      <c r="Y92" s="16"/>
      <c r="AR92" s="115" t="s">
        <v>10</v>
      </c>
      <c r="AS92" s="115" t="s">
        <v>140</v>
      </c>
      <c r="AT92" s="119">
        <f>Augmentation_Data!D72</f>
        <v>122</v>
      </c>
      <c r="AU92" s="119">
        <f>Augmentation_Data!E72</f>
        <v>23</v>
      </c>
      <c r="AV92" s="119">
        <f>Augmentation_Data!F72</f>
        <v>14.55</v>
      </c>
      <c r="AW92" s="119">
        <f>Augmentation_Data!G72</f>
        <v>66.8</v>
      </c>
      <c r="AX92" s="119">
        <f>Augmentation_Data!H72</f>
        <v>412.05</v>
      </c>
      <c r="AY92" s="119">
        <f>Augmentation_Data!I72</f>
        <v>99.75</v>
      </c>
      <c r="BA92" s="115" t="s">
        <v>10</v>
      </c>
      <c r="BB92" s="115" t="s">
        <v>140</v>
      </c>
      <c r="BC92" s="116">
        <f>Augmentation_Data!M72</f>
        <v>31</v>
      </c>
      <c r="BD92" s="116">
        <f>Augmentation_Data!N72</f>
        <v>13</v>
      </c>
      <c r="BE92" s="116">
        <f>Augmentation_Data!O72</f>
        <v>14.55</v>
      </c>
      <c r="BF92" s="116">
        <f>Augmentation_Data!P72</f>
        <v>14</v>
      </c>
      <c r="BG92" s="116">
        <f>Augmentation_Data!Q72</f>
        <v>247</v>
      </c>
      <c r="BH92" s="116">
        <f>Augmentation_Data!R72</f>
        <v>99.75</v>
      </c>
      <c r="BX92"/>
    </row>
    <row r="93" spans="24:76" ht="14.55" customHeight="1">
      <c r="X93" s="21"/>
      <c r="Y93" s="16"/>
      <c r="AR93" s="115" t="s">
        <v>11</v>
      </c>
      <c r="AS93" s="115" t="s">
        <v>141</v>
      </c>
      <c r="AT93" s="119">
        <f>Augmentation_Data!D73</f>
        <v>759.06000000000006</v>
      </c>
      <c r="AU93" s="119">
        <f>Augmentation_Data!E73</f>
        <v>553.1</v>
      </c>
      <c r="AV93" s="119">
        <f>Augmentation_Data!F73</f>
        <v>855.86</v>
      </c>
      <c r="AW93" s="119">
        <f>Augmentation_Data!G73</f>
        <v>1697.9</v>
      </c>
      <c r="AX93" s="119">
        <f>Augmentation_Data!H73</f>
        <v>3350.95</v>
      </c>
      <c r="AY93" s="119">
        <f>Augmentation_Data!I73</f>
        <v>1328.5</v>
      </c>
      <c r="BA93" s="115" t="s">
        <v>11</v>
      </c>
      <c r="BB93" s="115" t="s">
        <v>141</v>
      </c>
      <c r="BC93" s="116">
        <f>Augmentation_Data!M73</f>
        <v>9.6</v>
      </c>
      <c r="BD93" s="116">
        <f>Augmentation_Data!N73</f>
        <v>195.7</v>
      </c>
      <c r="BE93" s="116">
        <f>Augmentation_Data!O73</f>
        <v>476.96</v>
      </c>
      <c r="BF93" s="116">
        <f>Augmentation_Data!P73</f>
        <v>533.4</v>
      </c>
      <c r="BG93" s="116">
        <f>Augmentation_Data!Q73</f>
        <v>1913.75</v>
      </c>
      <c r="BH93" s="116">
        <f>Augmentation_Data!R73</f>
        <v>1328.5</v>
      </c>
      <c r="BX93"/>
    </row>
    <row r="94" spans="24:76" ht="14.55" customHeight="1">
      <c r="X94" s="21"/>
      <c r="Y94" s="16"/>
      <c r="AR94" s="115" t="s">
        <v>12</v>
      </c>
      <c r="AS94" s="115" t="s">
        <v>142</v>
      </c>
      <c r="AT94" s="119">
        <f>Augmentation_Data!D74</f>
        <v>110</v>
      </c>
      <c r="AU94" s="119">
        <f>Augmentation_Data!E74</f>
        <v>220.25</v>
      </c>
      <c r="AV94" s="119">
        <f>Augmentation_Data!F74</f>
        <v>586</v>
      </c>
      <c r="AW94" s="119">
        <f>Augmentation_Data!G74</f>
        <v>819</v>
      </c>
      <c r="AX94" s="119">
        <f>Augmentation_Data!H74</f>
        <v>867.25</v>
      </c>
      <c r="AY94" s="119">
        <f>Augmentation_Data!I74</f>
        <v>367.75</v>
      </c>
      <c r="BA94" s="115" t="s">
        <v>12</v>
      </c>
      <c r="BB94" s="115" t="s">
        <v>142</v>
      </c>
      <c r="BC94" s="116">
        <f>Augmentation_Data!M74</f>
        <v>35</v>
      </c>
      <c r="BD94" s="116">
        <f>Augmentation_Data!N74</f>
        <v>108.5</v>
      </c>
      <c r="BE94" s="116">
        <f>Augmentation_Data!O74</f>
        <v>455</v>
      </c>
      <c r="BF94" s="116">
        <f>Augmentation_Data!P74</f>
        <v>383.25</v>
      </c>
      <c r="BG94" s="116">
        <f>Augmentation_Data!Q74</f>
        <v>308.25</v>
      </c>
      <c r="BH94" s="116">
        <f>Augmentation_Data!R74</f>
        <v>367.75</v>
      </c>
      <c r="BX94"/>
    </row>
    <row r="95" spans="24:76" ht="14.55" customHeight="1">
      <c r="X95" s="21"/>
      <c r="Y95" s="16"/>
      <c r="AR95" s="115" t="s">
        <v>13</v>
      </c>
      <c r="AS95" s="115" t="s">
        <v>143</v>
      </c>
      <c r="AT95" s="119">
        <f>Augmentation_Data!D75</f>
        <v>231</v>
      </c>
      <c r="AU95" s="119">
        <f>Augmentation_Data!E75</f>
        <v>0</v>
      </c>
      <c r="AV95" s="119">
        <f>Augmentation_Data!F75</f>
        <v>0</v>
      </c>
      <c r="AW95" s="119">
        <f>Augmentation_Data!G75</f>
        <v>6</v>
      </c>
      <c r="AX95" s="119">
        <f>Augmentation_Data!H75</f>
        <v>0</v>
      </c>
      <c r="AY95" s="119">
        <f>Augmentation_Data!I75</f>
        <v>0</v>
      </c>
      <c r="BA95" s="115" t="s">
        <v>13</v>
      </c>
      <c r="BB95" s="115" t="s">
        <v>143</v>
      </c>
      <c r="BC95" s="116">
        <f>Augmentation_Data!M75</f>
        <v>136</v>
      </c>
      <c r="BD95" s="116">
        <f>Augmentation_Data!N75</f>
        <v>0</v>
      </c>
      <c r="BE95" s="116">
        <f>Augmentation_Data!O75</f>
        <v>0</v>
      </c>
      <c r="BF95" s="116">
        <f>Augmentation_Data!P75</f>
        <v>0</v>
      </c>
      <c r="BG95" s="116">
        <f>Augmentation_Data!Q75</f>
        <v>0</v>
      </c>
      <c r="BH95" s="116">
        <f>Augmentation_Data!R75</f>
        <v>0</v>
      </c>
      <c r="BX95"/>
    </row>
    <row r="96" spans="24:76" ht="14.55" customHeight="1">
      <c r="X96" s="21"/>
      <c r="Y96" s="16"/>
      <c r="AR96" s="115" t="s">
        <v>14</v>
      </c>
      <c r="AS96" s="115" t="s">
        <v>144</v>
      </c>
      <c r="AT96" s="119">
        <f>Augmentation_Data!D76</f>
        <v>96.5</v>
      </c>
      <c r="AU96" s="119">
        <f>Augmentation_Data!E76</f>
        <v>178</v>
      </c>
      <c r="AV96" s="119">
        <f>Augmentation_Data!F76</f>
        <v>87.5</v>
      </c>
      <c r="AW96" s="119">
        <f>Augmentation_Data!G76</f>
        <v>54.5</v>
      </c>
      <c r="AX96" s="119">
        <f>Augmentation_Data!H76</f>
        <v>22.5</v>
      </c>
      <c r="AY96" s="119">
        <f>Augmentation_Data!I76</f>
        <v>78.5</v>
      </c>
      <c r="BA96" s="115" t="s">
        <v>14</v>
      </c>
      <c r="BB96" s="115" t="s">
        <v>144</v>
      </c>
      <c r="BC96" s="116">
        <f>Augmentation_Data!M76</f>
        <v>41</v>
      </c>
      <c r="BD96" s="116">
        <f>Augmentation_Data!N76</f>
        <v>138</v>
      </c>
      <c r="BE96" s="116">
        <f>Augmentation_Data!O76</f>
        <v>40</v>
      </c>
      <c r="BF96" s="116">
        <f>Augmentation_Data!P76</f>
        <v>38.5</v>
      </c>
      <c r="BG96" s="116">
        <f>Augmentation_Data!Q76</f>
        <v>22.5</v>
      </c>
      <c r="BH96" s="116">
        <f>Augmentation_Data!R76</f>
        <v>78.5</v>
      </c>
      <c r="BX96"/>
    </row>
    <row r="97" spans="1:93" ht="14.55" customHeight="1">
      <c r="X97" s="21"/>
      <c r="Y97" s="16"/>
      <c r="AR97" s="115" t="s">
        <v>15</v>
      </c>
      <c r="AS97" s="115" t="s">
        <v>145</v>
      </c>
      <c r="AT97" s="119">
        <f>Augmentation_Data!D77</f>
        <v>0</v>
      </c>
      <c r="AU97" s="119">
        <f>Augmentation_Data!E77</f>
        <v>8.5</v>
      </c>
      <c r="AV97" s="119">
        <f>Augmentation_Data!F77</f>
        <v>91.5</v>
      </c>
      <c r="AW97" s="119">
        <f>Augmentation_Data!G77</f>
        <v>213</v>
      </c>
      <c r="AX97" s="119">
        <f>Augmentation_Data!H77</f>
        <v>234.1</v>
      </c>
      <c r="AY97" s="119">
        <f>Augmentation_Data!I77</f>
        <v>33.25</v>
      </c>
      <c r="BA97" s="115" t="s">
        <v>15</v>
      </c>
      <c r="BB97" s="115" t="s">
        <v>145</v>
      </c>
      <c r="BC97" s="116">
        <f>Augmentation_Data!M77</f>
        <v>0</v>
      </c>
      <c r="BD97" s="116">
        <f>Augmentation_Data!N77</f>
        <v>8.5</v>
      </c>
      <c r="BE97" s="116">
        <f>Augmentation_Data!O77</f>
        <v>19</v>
      </c>
      <c r="BF97" s="116">
        <f>Augmentation_Data!P77</f>
        <v>68.5</v>
      </c>
      <c r="BG97" s="116">
        <f>Augmentation_Data!Q77</f>
        <v>179.6</v>
      </c>
      <c r="BH97" s="116">
        <f>Augmentation_Data!R77</f>
        <v>33.25</v>
      </c>
      <c r="BX97"/>
    </row>
    <row r="98" spans="1:93" ht="14.55" customHeight="1">
      <c r="X98" s="21"/>
      <c r="Y98" s="16"/>
      <c r="AR98" s="115" t="s">
        <v>27</v>
      </c>
      <c r="AS98" s="115" t="s">
        <v>29</v>
      </c>
      <c r="AT98" s="119">
        <f>Augmentation_Data!D78</f>
        <v>6899.2</v>
      </c>
      <c r="AU98" s="119">
        <f>Augmentation_Data!E78</f>
        <v>6466.3200000000006</v>
      </c>
      <c r="AV98" s="119">
        <f>Augmentation_Data!F78</f>
        <v>5934.42</v>
      </c>
      <c r="AW98" s="119">
        <f>Augmentation_Data!G78</f>
        <v>9156.52</v>
      </c>
      <c r="AX98" s="119">
        <f>Augmentation_Data!H78</f>
        <v>12430.59</v>
      </c>
      <c r="AY98" s="119">
        <f>Augmentation_Data!I78</f>
        <v>4626.5</v>
      </c>
      <c r="BA98" s="115" t="s">
        <v>27</v>
      </c>
      <c r="BB98" s="117" t="s">
        <v>29</v>
      </c>
      <c r="BC98" s="116">
        <f>Augmentation_Data!M78</f>
        <v>3410.85</v>
      </c>
      <c r="BD98" s="116">
        <f>Augmentation_Data!N78</f>
        <v>3851.37</v>
      </c>
      <c r="BE98" s="116">
        <f>Augmentation_Data!O78</f>
        <v>3357.75</v>
      </c>
      <c r="BF98" s="116">
        <f>Augmentation_Data!P78</f>
        <v>3350.72</v>
      </c>
      <c r="BG98" s="116">
        <f>Augmentation_Data!Q78</f>
        <v>5885.8200000000006</v>
      </c>
      <c r="BH98" s="116">
        <f>Augmentation_Data!R78</f>
        <v>4626.5</v>
      </c>
      <c r="BX98"/>
    </row>
    <row r="99" spans="1:93" ht="14.55" customHeight="1">
      <c r="X99" s="21"/>
      <c r="Y99" s="16"/>
      <c r="AR99"/>
      <c r="AZ99" s="10"/>
      <c r="BA99" s="10"/>
      <c r="BX99"/>
    </row>
    <row r="100" spans="1:93" ht="14.55" customHeight="1">
      <c r="X100" s="21"/>
      <c r="Y100" s="16"/>
      <c r="AR100"/>
      <c r="BX100"/>
    </row>
    <row r="101" spans="1:93" ht="14.55" customHeight="1">
      <c r="X101" s="21"/>
      <c r="Y101" s="16"/>
      <c r="AR101"/>
      <c r="BX101"/>
    </row>
    <row r="102" spans="1:93" ht="19.2" customHeight="1">
      <c r="X102" s="21"/>
      <c r="Y102" s="16"/>
      <c r="AR102"/>
      <c r="BX102"/>
    </row>
    <row r="103" spans="1:93" s="10" customFormat="1" ht="14.5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21"/>
      <c r="Y103" s="16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 s="4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</row>
    <row r="104" spans="1:93" ht="14.55" customHeight="1">
      <c r="X104" s="21"/>
      <c r="Y104" s="16"/>
      <c r="AR104"/>
      <c r="BX104"/>
    </row>
    <row r="105" spans="1:93" ht="14.55" customHeight="1">
      <c r="X105" s="21"/>
      <c r="Y105" s="16"/>
      <c r="AR105"/>
      <c r="BX105"/>
    </row>
    <row r="106" spans="1:93" ht="14.55" customHeight="1">
      <c r="X106" s="21"/>
      <c r="Y106" s="16"/>
      <c r="AR106"/>
      <c r="BX106"/>
    </row>
    <row r="107" spans="1:93" ht="14.55" customHeight="1">
      <c r="X107" s="21"/>
      <c r="Y107" s="16"/>
      <c r="AR107"/>
      <c r="BX107"/>
    </row>
    <row r="108" spans="1:93" ht="14.55" customHeight="1">
      <c r="X108" s="21"/>
      <c r="Y108" s="16"/>
      <c r="AR108"/>
      <c r="BX108"/>
    </row>
    <row r="109" spans="1:93" ht="14.55" customHeight="1">
      <c r="X109" s="21"/>
      <c r="Y109" s="16"/>
      <c r="AR109"/>
      <c r="BX109"/>
    </row>
    <row r="110" spans="1:93" ht="14.55" customHeight="1">
      <c r="X110" s="21"/>
      <c r="Y110" s="16"/>
      <c r="AR110"/>
      <c r="BX110"/>
    </row>
    <row r="111" spans="1:93" ht="14.55" customHeight="1">
      <c r="X111" s="21"/>
      <c r="Y111" s="16"/>
      <c r="AR111"/>
      <c r="BX111"/>
    </row>
    <row r="112" spans="1:93" ht="14.55" customHeight="1">
      <c r="X112" s="21"/>
      <c r="Y112" s="16"/>
      <c r="AR112"/>
      <c r="BX112"/>
    </row>
    <row r="113" spans="24:76" ht="14.55" customHeight="1">
      <c r="X113" s="21"/>
      <c r="Y113" s="16"/>
      <c r="AR113"/>
      <c r="BX113"/>
    </row>
    <row r="114" spans="24:76" ht="14.55" customHeight="1">
      <c r="X114" s="21"/>
      <c r="Y114" s="16"/>
      <c r="AR114"/>
      <c r="BX114"/>
    </row>
    <row r="115" spans="24:76" ht="14.55" customHeight="1">
      <c r="X115" s="21"/>
      <c r="Y115" s="16"/>
      <c r="AR115"/>
      <c r="BX115"/>
    </row>
    <row r="116" spans="24:76" ht="14.55" customHeight="1">
      <c r="X116" s="21"/>
      <c r="Y116" s="16"/>
      <c r="AR116"/>
      <c r="BX116"/>
    </row>
    <row r="117" spans="24:76" ht="14.55" customHeight="1">
      <c r="X117" s="21"/>
      <c r="Y117" s="16"/>
      <c r="AR117"/>
      <c r="BX117"/>
    </row>
    <row r="118" spans="24:76" ht="14.55" customHeight="1">
      <c r="X118" s="21"/>
      <c r="Y118" s="16"/>
      <c r="AR118"/>
      <c r="BX118"/>
    </row>
    <row r="119" spans="24:76" ht="14.55" customHeight="1">
      <c r="X119" s="21"/>
      <c r="Y119" s="16"/>
      <c r="AR119"/>
      <c r="BX119"/>
    </row>
    <row r="120" spans="24:76" ht="14.55" customHeight="1">
      <c r="X120" s="21"/>
      <c r="Y120" s="16"/>
      <c r="AR120"/>
      <c r="BX120"/>
    </row>
    <row r="121" spans="24:76" ht="14.55" customHeight="1">
      <c r="X121" s="21"/>
      <c r="Y121" s="16"/>
      <c r="AR121"/>
      <c r="BX121"/>
    </row>
    <row r="122" spans="24:76" ht="14.55" customHeight="1">
      <c r="X122" s="21"/>
      <c r="Y122" s="16"/>
      <c r="AR122"/>
      <c r="BX122"/>
    </row>
    <row r="123" spans="24:76" ht="14.55" customHeight="1">
      <c r="X123" s="21"/>
      <c r="Y123" s="16"/>
      <c r="AR123"/>
      <c r="BX123"/>
    </row>
    <row r="124" spans="24:76" ht="14.55" customHeight="1">
      <c r="X124" s="21"/>
      <c r="Y124" s="16"/>
      <c r="AR124"/>
      <c r="AZ124" s="10"/>
      <c r="BA124" s="10"/>
      <c r="BX124"/>
    </row>
    <row r="125" spans="24:76" ht="14.55" customHeight="1">
      <c r="X125" s="21"/>
      <c r="Y125" s="16"/>
      <c r="AR125"/>
      <c r="BX125"/>
    </row>
    <row r="126" spans="24:76" ht="14.55" customHeight="1">
      <c r="X126" s="21"/>
      <c r="Y126" s="16"/>
      <c r="AR126"/>
      <c r="BX126"/>
    </row>
    <row r="127" spans="24:76" ht="19.2" customHeight="1">
      <c r="X127" s="21"/>
      <c r="Y127" s="16"/>
      <c r="AR127"/>
      <c r="BX127"/>
    </row>
    <row r="128" spans="24:76" ht="14.55" customHeight="1">
      <c r="X128" s="21"/>
      <c r="Y128" s="16"/>
      <c r="AR128"/>
      <c r="BX128"/>
    </row>
    <row r="129" spans="1:93" s="10" customFormat="1" ht="14.5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21"/>
      <c r="Y129" s="16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 s="4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X129"/>
      <c r="BY129"/>
      <c r="BZ129"/>
      <c r="CA129"/>
      <c r="CB129"/>
      <c r="CC129"/>
      <c r="CD129"/>
      <c r="CE129"/>
      <c r="CF129"/>
      <c r="CG129"/>
      <c r="CH129"/>
      <c r="CI129"/>
      <c r="CJ129"/>
      <c r="CK129"/>
      <c r="CL129"/>
      <c r="CM129"/>
      <c r="CN129"/>
      <c r="CO129"/>
    </row>
    <row r="130" spans="1:93" ht="14.55" customHeight="1">
      <c r="X130" s="21"/>
      <c r="Y130" s="16"/>
      <c r="AR130"/>
      <c r="BX130"/>
    </row>
    <row r="131" spans="1:93" ht="14.55" customHeight="1">
      <c r="X131" s="21"/>
      <c r="Y131" s="16"/>
      <c r="AR131"/>
      <c r="BX131"/>
    </row>
    <row r="132" spans="1:93" ht="14.55" customHeight="1">
      <c r="X132" s="21"/>
      <c r="Y132" s="16"/>
      <c r="AR132"/>
      <c r="BX132"/>
    </row>
    <row r="133" spans="1:93" ht="14.55" customHeight="1">
      <c r="X133" s="21"/>
      <c r="Y133" s="16"/>
      <c r="AR133"/>
      <c r="BX133"/>
    </row>
    <row r="134" spans="1:93" ht="14.55" customHeight="1">
      <c r="X134" s="21"/>
      <c r="Y134" s="16"/>
      <c r="AR134"/>
      <c r="BX134"/>
    </row>
    <row r="135" spans="1:93" ht="14.55" customHeight="1">
      <c r="X135" s="21"/>
      <c r="Y135" s="16"/>
      <c r="AR135"/>
      <c r="BX135"/>
    </row>
    <row r="136" spans="1:93" ht="14.55" customHeight="1">
      <c r="X136" s="21"/>
      <c r="Y136" s="16"/>
      <c r="AR136"/>
      <c r="BX136"/>
    </row>
    <row r="137" spans="1:93" ht="14.55" customHeight="1">
      <c r="X137" s="21"/>
      <c r="Y137" s="16"/>
      <c r="AR137"/>
      <c r="BX137"/>
    </row>
    <row r="138" spans="1:93" ht="14.55" customHeight="1">
      <c r="X138" s="21"/>
      <c r="Y138" s="16"/>
      <c r="AR138"/>
      <c r="BX138"/>
    </row>
    <row r="139" spans="1:93" ht="14.55" customHeight="1">
      <c r="X139" s="21"/>
      <c r="Y139" s="16"/>
      <c r="AR139"/>
      <c r="BX139"/>
    </row>
    <row r="140" spans="1:93" ht="14.55" customHeight="1">
      <c r="X140" s="21"/>
      <c r="Y140" s="16"/>
      <c r="AR140"/>
      <c r="BX140"/>
    </row>
    <row r="141" spans="1:93" ht="14.55" customHeight="1">
      <c r="X141" s="21"/>
      <c r="Y141" s="16"/>
      <c r="AR141"/>
      <c r="BX141"/>
    </row>
    <row r="142" spans="1:93" ht="14.55" customHeight="1">
      <c r="X142" s="21"/>
      <c r="Y142" s="16"/>
      <c r="AR142"/>
      <c r="BX142"/>
    </row>
    <row r="143" spans="1:93" ht="14.55" customHeight="1">
      <c r="X143" s="21"/>
      <c r="Y143" s="16"/>
      <c r="AR143"/>
      <c r="BX143"/>
    </row>
    <row r="144" spans="1:93" ht="14.55" customHeight="1">
      <c r="X144" s="21"/>
      <c r="Y144" s="16"/>
      <c r="AR144"/>
      <c r="BX144"/>
    </row>
    <row r="145" spans="24:76" ht="14.55" customHeight="1">
      <c r="X145" s="21"/>
      <c r="Y145" s="16"/>
      <c r="AR145"/>
      <c r="BX145"/>
    </row>
    <row r="146" spans="24:76" ht="14.55" customHeight="1">
      <c r="X146" s="21"/>
      <c r="Y146" s="16"/>
      <c r="AR146"/>
      <c r="BX146"/>
    </row>
    <row r="147" spans="24:76" ht="14.55" customHeight="1">
      <c r="X147" s="21"/>
      <c r="Y147" s="16"/>
      <c r="AR147"/>
      <c r="BX147"/>
    </row>
    <row r="148" spans="24:76" ht="14.55" customHeight="1">
      <c r="X148" s="21"/>
      <c r="Y148" s="16"/>
      <c r="AR148"/>
      <c r="BX148"/>
    </row>
    <row r="149" spans="24:76" ht="14.55" customHeight="1">
      <c r="X149" s="21"/>
      <c r="Y149" s="16"/>
      <c r="AR149"/>
      <c r="BX149"/>
    </row>
    <row r="150" spans="24:76" ht="14.55" customHeight="1">
      <c r="X150" s="21"/>
      <c r="Y150" s="16"/>
      <c r="AR150"/>
      <c r="AZ150" s="10"/>
      <c r="BA150" s="10"/>
      <c r="BX150"/>
    </row>
    <row r="151" spans="24:76" ht="14.55" customHeight="1">
      <c r="X151" s="21"/>
      <c r="Y151" s="16"/>
      <c r="AR151"/>
      <c r="BX151"/>
    </row>
    <row r="152" spans="24:76" ht="19.2" customHeight="1">
      <c r="X152" s="21"/>
      <c r="Y152" s="16"/>
      <c r="AR152"/>
      <c r="BX152"/>
    </row>
    <row r="153" spans="24:76" ht="14.55" customHeight="1">
      <c r="X153" s="21"/>
      <c r="Y153" s="16"/>
      <c r="AR153"/>
      <c r="BX153"/>
    </row>
    <row r="154" spans="24:76" ht="14.55" customHeight="1">
      <c r="X154" s="21"/>
      <c r="Y154" s="16"/>
      <c r="AR154"/>
      <c r="BX154"/>
    </row>
    <row r="155" spans="24:76" ht="14.55" customHeight="1">
      <c r="X155" s="21"/>
      <c r="Y155" s="16"/>
      <c r="AR155"/>
      <c r="BX155"/>
    </row>
    <row r="156" spans="24:76" ht="14.55" customHeight="1">
      <c r="X156" s="21"/>
      <c r="Y156" s="16"/>
      <c r="AR156"/>
      <c r="BX156"/>
    </row>
    <row r="157" spans="24:76" ht="14.55" customHeight="1">
      <c r="X157" s="21"/>
      <c r="Y157" s="16"/>
      <c r="AR157"/>
      <c r="BX157"/>
    </row>
    <row r="158" spans="24:76" ht="14.55" customHeight="1">
      <c r="X158" s="21"/>
      <c r="Y158" s="16"/>
      <c r="AR158"/>
      <c r="BX158"/>
    </row>
    <row r="159" spans="24:76" ht="14.55" customHeight="1">
      <c r="X159" s="21"/>
      <c r="Y159" s="16"/>
      <c r="AR159"/>
      <c r="BX159"/>
    </row>
    <row r="160" spans="24:76" ht="14.55" customHeight="1">
      <c r="X160" s="21"/>
      <c r="Y160" s="16"/>
      <c r="AR160"/>
      <c r="BX160"/>
    </row>
    <row r="161" spans="24:76" ht="14.55" customHeight="1">
      <c r="X161" s="21"/>
      <c r="Y161" s="16"/>
      <c r="AR161"/>
      <c r="BX161"/>
    </row>
    <row r="162" spans="24:76" ht="14.55" customHeight="1">
      <c r="X162" s="21"/>
      <c r="Y162" s="16"/>
      <c r="AR162"/>
      <c r="BX162"/>
    </row>
    <row r="163" spans="24:76" ht="14.55" customHeight="1">
      <c r="X163" s="21"/>
      <c r="Y163" s="16"/>
      <c r="AR163"/>
      <c r="BX163"/>
    </row>
    <row r="164" spans="24:76" ht="14.55" customHeight="1">
      <c r="X164" s="21"/>
      <c r="Y164" s="16"/>
      <c r="AR164"/>
      <c r="BX164"/>
    </row>
    <row r="165" spans="24:76" ht="14.55" customHeight="1">
      <c r="X165" s="21"/>
      <c r="Y165" s="16"/>
      <c r="AR165"/>
      <c r="BX165"/>
    </row>
    <row r="166" spans="24:76" ht="14.55" customHeight="1">
      <c r="X166" s="21"/>
      <c r="Y166" s="16"/>
      <c r="AR166"/>
      <c r="BX166"/>
    </row>
    <row r="167" spans="24:76" ht="14.55" customHeight="1">
      <c r="X167" s="21"/>
      <c r="Y167" s="16"/>
      <c r="AR167"/>
      <c r="BX167"/>
    </row>
    <row r="168" spans="24:76" ht="14.55" customHeight="1">
      <c r="X168" s="21"/>
      <c r="Y168" s="16"/>
      <c r="AR168"/>
      <c r="BX168"/>
    </row>
    <row r="169" spans="24:76" ht="14.55" customHeight="1">
      <c r="X169" s="21"/>
      <c r="Y169" s="16"/>
      <c r="AR169"/>
      <c r="BX169"/>
    </row>
    <row r="170" spans="24:76" ht="14.55" customHeight="1">
      <c r="X170" s="21"/>
      <c r="Y170" s="16"/>
      <c r="AR170"/>
      <c r="BX170"/>
    </row>
    <row r="171" spans="24:76" ht="14.55" customHeight="1">
      <c r="X171" s="21"/>
      <c r="Y171" s="16"/>
      <c r="AR171"/>
      <c r="BX171"/>
    </row>
    <row r="172" spans="24:76" ht="14.55" customHeight="1">
      <c r="X172" s="21"/>
      <c r="Y172" s="16"/>
      <c r="AR172"/>
      <c r="BX172"/>
    </row>
    <row r="173" spans="24:76" ht="14.55" customHeight="1">
      <c r="X173" s="21"/>
      <c r="Y173" s="16"/>
      <c r="AR173"/>
      <c r="BX173"/>
    </row>
    <row r="174" spans="24:76" ht="14.55" customHeight="1">
      <c r="X174" s="21"/>
      <c r="Y174" s="16"/>
      <c r="AR174"/>
      <c r="BX174"/>
    </row>
    <row r="175" spans="24:76" ht="14.25" customHeight="1">
      <c r="X175" s="21"/>
      <c r="Y175" s="16"/>
      <c r="AR175"/>
      <c r="BX175"/>
    </row>
    <row r="176" spans="24:76" ht="14.55" customHeight="1">
      <c r="X176" s="21"/>
      <c r="Y176" s="16"/>
      <c r="AR176"/>
      <c r="BX176"/>
    </row>
    <row r="177" spans="24:76" ht="19.2" customHeight="1">
      <c r="X177" s="21"/>
      <c r="Y177" s="16"/>
      <c r="AR177"/>
      <c r="BX177"/>
    </row>
    <row r="178" spans="24:76" ht="14.55" customHeight="1">
      <c r="X178" s="21"/>
      <c r="Y178" s="16"/>
      <c r="AR178"/>
      <c r="BX178"/>
    </row>
    <row r="179" spans="24:76" ht="14.55" customHeight="1">
      <c r="X179" s="21"/>
      <c r="Y179" s="16"/>
      <c r="AR179"/>
      <c r="BX179"/>
    </row>
    <row r="180" spans="24:76" ht="14.55" customHeight="1">
      <c r="X180" s="21"/>
      <c r="Y180" s="16"/>
      <c r="AR180"/>
      <c r="BX180"/>
    </row>
    <row r="181" spans="24:76" ht="14.55" customHeight="1">
      <c r="X181" s="21"/>
      <c r="Y181" s="16"/>
      <c r="AR181"/>
      <c r="BX181"/>
    </row>
    <row r="182" spans="24:76" ht="14.55" customHeight="1">
      <c r="X182" s="21"/>
      <c r="Y182" s="16"/>
      <c r="AR182"/>
      <c r="BX182"/>
    </row>
    <row r="183" spans="24:76" ht="14.55" customHeight="1">
      <c r="X183" s="21"/>
      <c r="Y183" s="16"/>
      <c r="AR183"/>
      <c r="BX183"/>
    </row>
    <row r="184" spans="24:76" ht="14.55" customHeight="1">
      <c r="X184" s="21"/>
      <c r="Y184" s="16"/>
      <c r="AR184"/>
      <c r="BX184"/>
    </row>
    <row r="185" spans="24:76" ht="14.55" customHeight="1">
      <c r="X185" s="21"/>
      <c r="Y185" s="16"/>
      <c r="AR185"/>
      <c r="BX185"/>
    </row>
    <row r="186" spans="24:76" ht="14.55" customHeight="1">
      <c r="X186" s="21"/>
      <c r="Y186" s="16"/>
      <c r="AR186"/>
      <c r="BX186"/>
    </row>
    <row r="187" spans="24:76" ht="14.55" customHeight="1">
      <c r="X187" s="21"/>
      <c r="Y187" s="16"/>
      <c r="AR187"/>
      <c r="BX187"/>
    </row>
    <row r="188" spans="24:76" ht="14.55" customHeight="1">
      <c r="X188" s="21"/>
      <c r="Y188" s="16"/>
      <c r="AR188"/>
      <c r="BX188"/>
    </row>
    <row r="189" spans="24:76" ht="14.55" customHeight="1">
      <c r="X189" s="21"/>
      <c r="Y189" s="16"/>
      <c r="AR189"/>
      <c r="BX189"/>
    </row>
    <row r="190" spans="24:76" ht="14.55" customHeight="1">
      <c r="X190" s="21"/>
      <c r="Y190" s="16"/>
      <c r="AR190"/>
      <c r="BX190"/>
    </row>
    <row r="191" spans="24:76" ht="14.55" customHeight="1">
      <c r="X191" s="21"/>
      <c r="Y191" s="16"/>
      <c r="AR191"/>
      <c r="BX191"/>
    </row>
    <row r="192" spans="24:76" ht="14.55" customHeight="1">
      <c r="X192" s="21"/>
      <c r="Y192" s="16"/>
      <c r="AR192"/>
      <c r="BX192"/>
    </row>
    <row r="193" spans="24:76" ht="14.55" customHeight="1">
      <c r="X193" s="21"/>
      <c r="Y193" s="16"/>
      <c r="AR193"/>
      <c r="BX193"/>
    </row>
    <row r="194" spans="24:76" ht="14.55" customHeight="1">
      <c r="X194" s="21"/>
      <c r="Y194" s="16"/>
      <c r="AR194"/>
      <c r="BX194"/>
    </row>
    <row r="195" spans="24:76" ht="14.55" customHeight="1">
      <c r="X195" s="21"/>
      <c r="Y195" s="16"/>
      <c r="AR195"/>
      <c r="BX195"/>
    </row>
    <row r="196" spans="24:76" ht="14.55" customHeight="1">
      <c r="X196" s="21"/>
      <c r="Y196" s="16"/>
      <c r="AR196"/>
      <c r="BX196"/>
    </row>
    <row r="197" spans="24:76" ht="14.55" customHeight="1">
      <c r="X197" s="21"/>
      <c r="Y197" s="16"/>
      <c r="AR197"/>
      <c r="BX197"/>
    </row>
    <row r="198" spans="24:76" ht="14.55" customHeight="1">
      <c r="X198" s="21"/>
      <c r="Y198" s="16"/>
      <c r="AR198"/>
      <c r="BX198"/>
    </row>
    <row r="199" spans="24:76" ht="14.55" customHeight="1">
      <c r="X199" s="21"/>
      <c r="Y199" s="16"/>
      <c r="AR199"/>
      <c r="BX199"/>
    </row>
    <row r="200" spans="24:76" ht="13.5" customHeight="1">
      <c r="X200" s="21"/>
      <c r="Y200" s="16"/>
      <c r="AR200"/>
      <c r="BX200"/>
    </row>
    <row r="201" spans="24:76" ht="14.55" customHeight="1">
      <c r="X201" s="21"/>
      <c r="Y201" s="16"/>
      <c r="AR201"/>
      <c r="BX201"/>
    </row>
    <row r="202" spans="24:76" ht="19.2" customHeight="1">
      <c r="X202" s="21"/>
      <c r="Y202" s="16"/>
      <c r="AR202"/>
      <c r="BX202"/>
    </row>
    <row r="203" spans="24:76" ht="14.55" customHeight="1">
      <c r="X203" s="21"/>
      <c r="Y203" s="16"/>
      <c r="AR203"/>
      <c r="BX203"/>
    </row>
    <row r="204" spans="24:76" ht="14.55" customHeight="1">
      <c r="X204" s="21"/>
      <c r="Y204" s="16"/>
      <c r="AR204"/>
      <c r="BX204"/>
    </row>
    <row r="205" spans="24:76" ht="14.55" customHeight="1">
      <c r="X205" s="21"/>
      <c r="Y205" s="16"/>
      <c r="AR205"/>
      <c r="BX205"/>
    </row>
    <row r="206" spans="24:76" ht="14.55" customHeight="1">
      <c r="X206" s="21"/>
      <c r="Y206" s="16"/>
      <c r="AR206"/>
      <c r="BX206"/>
    </row>
    <row r="207" spans="24:76" ht="14.55" customHeight="1">
      <c r="X207" s="21"/>
      <c r="Y207" s="16"/>
      <c r="AR207"/>
      <c r="BX207"/>
    </row>
    <row r="208" spans="24:76" ht="14.55" customHeight="1">
      <c r="X208" s="21"/>
      <c r="Y208" s="16"/>
      <c r="AR208"/>
      <c r="BX208"/>
    </row>
    <row r="209" spans="24:76" ht="14.55" customHeight="1">
      <c r="X209" s="21"/>
      <c r="Y209" s="16"/>
      <c r="AR209"/>
      <c r="BX209"/>
    </row>
    <row r="210" spans="24:76" ht="14.55" customHeight="1">
      <c r="X210" s="21"/>
      <c r="Y210" s="16"/>
      <c r="AR210"/>
      <c r="BX210"/>
    </row>
    <row r="211" spans="24:76" ht="14.55" customHeight="1">
      <c r="X211" s="21"/>
      <c r="Y211" s="16"/>
      <c r="AR211"/>
      <c r="BX211"/>
    </row>
    <row r="212" spans="24:76" ht="14.55" customHeight="1">
      <c r="X212" s="21"/>
      <c r="Y212" s="16"/>
      <c r="AR212"/>
      <c r="BX212"/>
    </row>
    <row r="213" spans="24:76" ht="14.55" customHeight="1">
      <c r="X213" s="21"/>
      <c r="Y213" s="16"/>
      <c r="AR213"/>
      <c r="BX213"/>
    </row>
    <row r="214" spans="24:76" ht="14.55" customHeight="1">
      <c r="X214" s="21"/>
      <c r="Y214" s="16"/>
      <c r="AR214"/>
      <c r="BX214"/>
    </row>
    <row r="215" spans="24:76" ht="14.55" customHeight="1">
      <c r="X215" s="21"/>
      <c r="Y215" s="16"/>
      <c r="AR215"/>
      <c r="BX215"/>
    </row>
    <row r="216" spans="24:76" ht="14.55" customHeight="1">
      <c r="X216" s="21"/>
      <c r="Y216" s="16"/>
      <c r="AR216"/>
      <c r="BX216"/>
    </row>
    <row r="217" spans="24:76" ht="14.55" customHeight="1">
      <c r="X217" s="21"/>
      <c r="Y217" s="16"/>
      <c r="AR217"/>
      <c r="BX217"/>
    </row>
    <row r="218" spans="24:76" ht="14.55" customHeight="1">
      <c r="X218" s="21"/>
      <c r="Y218" s="16"/>
      <c r="AR218"/>
      <c r="BX218"/>
    </row>
    <row r="219" spans="24:76" ht="14.55" customHeight="1">
      <c r="X219" s="21"/>
      <c r="Y219" s="16"/>
      <c r="AR219"/>
      <c r="BX219"/>
    </row>
    <row r="220" spans="24:76" ht="14.55" customHeight="1">
      <c r="X220" s="21"/>
      <c r="Y220" s="16"/>
      <c r="AR220"/>
      <c r="BX220"/>
    </row>
    <row r="221" spans="24:76" ht="14.55" customHeight="1">
      <c r="X221" s="21"/>
      <c r="Y221" s="16"/>
      <c r="AR221"/>
      <c r="BX221"/>
    </row>
    <row r="222" spans="24:76" ht="14.55" customHeight="1">
      <c r="X222" s="21"/>
      <c r="Y222" s="16"/>
      <c r="AR222"/>
      <c r="BX222"/>
    </row>
    <row r="223" spans="24:76" ht="14.55" customHeight="1">
      <c r="X223" s="21"/>
      <c r="Y223" s="16"/>
      <c r="AR223"/>
      <c r="BX223"/>
    </row>
    <row r="224" spans="24:76" ht="14.55" customHeight="1">
      <c r="X224" s="21"/>
      <c r="Y224" s="16"/>
      <c r="AR224"/>
      <c r="BX224"/>
    </row>
    <row r="225" spans="24:76" ht="14.55" customHeight="1">
      <c r="X225" s="21"/>
      <c r="Y225" s="16"/>
      <c r="AR225"/>
      <c r="BX225"/>
    </row>
    <row r="226" spans="24:76" ht="14.55" customHeight="1">
      <c r="X226" s="21"/>
      <c r="Y226" s="16"/>
      <c r="AR226"/>
      <c r="BX226"/>
    </row>
    <row r="227" spans="24:76" ht="19.2" customHeight="1">
      <c r="X227" s="21"/>
      <c r="Y227" s="16"/>
      <c r="AR227"/>
      <c r="BX227"/>
    </row>
    <row r="228" spans="24:76" ht="14.55" customHeight="1">
      <c r="X228" s="21"/>
      <c r="Y228" s="16"/>
      <c r="AR228"/>
      <c r="BX228"/>
    </row>
    <row r="229" spans="24:76" ht="14.55" customHeight="1">
      <c r="X229" s="21"/>
      <c r="Y229" s="16"/>
      <c r="AR229"/>
      <c r="BX229"/>
    </row>
    <row r="230" spans="24:76" ht="14.55" customHeight="1">
      <c r="X230" s="21"/>
      <c r="Y230" s="16"/>
      <c r="AR230"/>
      <c r="BX230"/>
    </row>
    <row r="231" spans="24:76" ht="14.55" customHeight="1">
      <c r="X231" s="21"/>
      <c r="Y231" s="16"/>
      <c r="AR231"/>
      <c r="BX231"/>
    </row>
    <row r="232" spans="24:76" ht="14.55" customHeight="1">
      <c r="X232" s="21"/>
      <c r="Y232" s="16"/>
      <c r="AR232"/>
      <c r="BX232"/>
    </row>
    <row r="233" spans="24:76" ht="14.55" customHeight="1">
      <c r="X233" s="21"/>
      <c r="Y233" s="16"/>
      <c r="AR233"/>
      <c r="BX233"/>
    </row>
    <row r="234" spans="24:76" ht="14.55" customHeight="1">
      <c r="X234" s="21"/>
      <c r="Y234" s="16"/>
      <c r="AR234"/>
      <c r="BX234"/>
    </row>
    <row r="235" spans="24:76" ht="14.55" customHeight="1">
      <c r="X235" s="21"/>
      <c r="Y235" s="16"/>
      <c r="AR235"/>
      <c r="BX235"/>
    </row>
    <row r="236" spans="24:76" ht="14.55" customHeight="1">
      <c r="X236" s="21"/>
      <c r="Y236" s="16"/>
      <c r="AR236"/>
      <c r="BX236"/>
    </row>
    <row r="237" spans="24:76" ht="14.55" customHeight="1">
      <c r="X237" s="21"/>
      <c r="Y237" s="16"/>
      <c r="AR237"/>
      <c r="BX237"/>
    </row>
    <row r="238" spans="24:76" ht="14.55" customHeight="1">
      <c r="X238" s="21"/>
      <c r="Y238" s="16"/>
      <c r="AR238"/>
      <c r="BX238"/>
    </row>
    <row r="239" spans="24:76" ht="14.55" customHeight="1">
      <c r="X239" s="21"/>
      <c r="Y239" s="16"/>
      <c r="AR239"/>
      <c r="BX239"/>
    </row>
    <row r="240" spans="24:76" ht="14.55" customHeight="1">
      <c r="X240" s="21"/>
      <c r="Y240" s="16"/>
      <c r="AR240"/>
      <c r="BX240"/>
    </row>
    <row r="241" spans="24:76" ht="14.55" customHeight="1">
      <c r="X241" s="21"/>
      <c r="Y241" s="16"/>
      <c r="AR241"/>
      <c r="BX241"/>
    </row>
    <row r="242" spans="24:76" ht="14.55" customHeight="1">
      <c r="X242" s="21"/>
      <c r="Y242" s="16"/>
      <c r="AR242"/>
      <c r="BX242"/>
    </row>
    <row r="243" spans="24:76" ht="14.55" customHeight="1">
      <c r="X243" s="21"/>
      <c r="Y243" s="16"/>
      <c r="AR243"/>
      <c r="BX243"/>
    </row>
    <row r="244" spans="24:76" ht="14.55" customHeight="1">
      <c r="X244" s="21"/>
      <c r="Y244" s="16"/>
      <c r="AR244"/>
      <c r="BX244"/>
    </row>
    <row r="245" spans="24:76" ht="14.55" customHeight="1">
      <c r="X245" s="21"/>
      <c r="Y245" s="16"/>
      <c r="AR245"/>
      <c r="BX245"/>
    </row>
    <row r="246" spans="24:76" ht="14.55" customHeight="1">
      <c r="X246" s="21"/>
      <c r="Y246" s="16"/>
      <c r="AR246"/>
      <c r="BX246"/>
    </row>
    <row r="247" spans="24:76" ht="14.55" customHeight="1">
      <c r="X247" s="21"/>
      <c r="Y247" s="16"/>
      <c r="AR247"/>
      <c r="BX247"/>
    </row>
    <row r="248" spans="24:76" ht="14.55" customHeight="1">
      <c r="X248" s="21"/>
      <c r="Y248" s="16"/>
      <c r="AR248"/>
      <c r="BX248"/>
    </row>
    <row r="249" spans="24:76" ht="14.55" customHeight="1">
      <c r="X249" s="21"/>
      <c r="Y249" s="16"/>
      <c r="AR249"/>
      <c r="BX249"/>
    </row>
    <row r="250" spans="24:76" ht="14.55" customHeight="1">
      <c r="X250" s="21"/>
      <c r="Y250" s="16"/>
      <c r="AR250"/>
      <c r="BX250"/>
    </row>
    <row r="251" spans="24:76" ht="14.55" customHeight="1">
      <c r="X251" s="21"/>
      <c r="Y251" s="16"/>
      <c r="AR251"/>
      <c r="BX251"/>
    </row>
    <row r="252" spans="24:76" ht="19.2" customHeight="1">
      <c r="X252" s="21"/>
      <c r="Y252" s="16"/>
      <c r="AR252"/>
      <c r="BX252"/>
    </row>
    <row r="253" spans="24:76" ht="14.55" customHeight="1">
      <c r="X253" s="21"/>
      <c r="Y253" s="16"/>
      <c r="AR253"/>
      <c r="BX253"/>
    </row>
    <row r="254" spans="24:76" ht="14.55" customHeight="1">
      <c r="X254" s="21"/>
      <c r="Y254" s="16"/>
      <c r="AR254"/>
      <c r="BX254"/>
    </row>
    <row r="255" spans="24:76" ht="14.55" customHeight="1">
      <c r="X255" s="21"/>
      <c r="Y255" s="16"/>
      <c r="AR255"/>
      <c r="BX255"/>
    </row>
    <row r="256" spans="24:76" ht="14.55" customHeight="1">
      <c r="X256" s="21"/>
      <c r="Y256" s="16"/>
      <c r="AR256"/>
      <c r="BX256"/>
    </row>
    <row r="257" spans="24:76" ht="14.55" customHeight="1">
      <c r="X257" s="21"/>
      <c r="Y257" s="16"/>
      <c r="AR257"/>
      <c r="BX257"/>
    </row>
    <row r="258" spans="24:76" ht="14.55" customHeight="1">
      <c r="X258" s="21"/>
      <c r="Y258" s="16"/>
      <c r="AR258"/>
      <c r="BX258"/>
    </row>
    <row r="259" spans="24:76" ht="14.55" customHeight="1">
      <c r="X259" s="21"/>
      <c r="Y259" s="16"/>
      <c r="AR259"/>
      <c r="BX259"/>
    </row>
    <row r="260" spans="24:76" ht="14.55" customHeight="1">
      <c r="X260" s="21"/>
      <c r="Y260" s="16"/>
      <c r="AR260"/>
      <c r="BX260"/>
    </row>
    <row r="261" spans="24:76" ht="14.55" customHeight="1">
      <c r="X261" s="21"/>
      <c r="Y261" s="16"/>
      <c r="AR261"/>
      <c r="BX261"/>
    </row>
    <row r="262" spans="24:76" ht="14.55" customHeight="1">
      <c r="X262" s="21"/>
      <c r="Y262" s="16"/>
      <c r="AR262"/>
      <c r="BX262"/>
    </row>
    <row r="263" spans="24:76" ht="14.55" customHeight="1">
      <c r="X263" s="21"/>
      <c r="Y263" s="16"/>
      <c r="AR263"/>
      <c r="BX263"/>
    </row>
    <row r="264" spans="24:76" ht="14.55" customHeight="1">
      <c r="X264" s="21"/>
      <c r="Y264" s="16"/>
      <c r="AR264"/>
      <c r="BX264"/>
    </row>
    <row r="265" spans="24:76" ht="14.55" customHeight="1">
      <c r="X265" s="21"/>
      <c r="Y265" s="16"/>
      <c r="AR265"/>
      <c r="BX265"/>
    </row>
    <row r="266" spans="24:76" ht="14.55" customHeight="1">
      <c r="X266" s="21"/>
      <c r="Y266" s="16"/>
      <c r="AR266"/>
      <c r="BX266"/>
    </row>
    <row r="267" spans="24:76" ht="14.55" customHeight="1">
      <c r="X267" s="21"/>
      <c r="Y267" s="16"/>
      <c r="AR267"/>
      <c r="BX267"/>
    </row>
    <row r="268" spans="24:76" ht="14.55" customHeight="1">
      <c r="X268" s="21"/>
      <c r="Y268" s="16"/>
      <c r="AR268"/>
      <c r="BX268"/>
    </row>
    <row r="269" spans="24:76" ht="14.55" customHeight="1">
      <c r="X269" s="21"/>
      <c r="Y269" s="16"/>
      <c r="AR269"/>
      <c r="BX269"/>
    </row>
    <row r="270" spans="24:76" ht="14.55" customHeight="1">
      <c r="X270" s="21"/>
      <c r="Y270" s="16"/>
      <c r="AR270"/>
      <c r="BX270"/>
    </row>
    <row r="271" spans="24:76" ht="14.55" customHeight="1">
      <c r="X271" s="21"/>
      <c r="Y271" s="16"/>
      <c r="AR271"/>
      <c r="BX271"/>
    </row>
    <row r="272" spans="24:76" ht="14.55" customHeight="1">
      <c r="X272" s="21"/>
      <c r="Y272" s="16"/>
      <c r="AR272"/>
      <c r="BX272"/>
    </row>
    <row r="273" spans="24:76" ht="14.55" customHeight="1">
      <c r="X273" s="21"/>
      <c r="Y273" s="16"/>
      <c r="AR273"/>
      <c r="BX273"/>
    </row>
    <row r="274" spans="24:76" ht="14.55" customHeight="1">
      <c r="X274" s="21"/>
      <c r="Y274" s="16"/>
      <c r="AR274"/>
      <c r="BX274"/>
    </row>
    <row r="275" spans="24:76" ht="14.55" customHeight="1">
      <c r="X275" s="21"/>
      <c r="Y275" s="16"/>
      <c r="AR275"/>
      <c r="BX275"/>
    </row>
    <row r="276" spans="24:76" ht="14.55" customHeight="1">
      <c r="X276" s="21"/>
      <c r="Y276" s="16"/>
      <c r="AR276"/>
      <c r="BX276"/>
    </row>
    <row r="277" spans="24:76" ht="19.2" customHeight="1">
      <c r="X277" s="21"/>
      <c r="Y277" s="16"/>
      <c r="AR277"/>
      <c r="BX277"/>
    </row>
    <row r="278" spans="24:76" ht="14.55" customHeight="1">
      <c r="X278" s="21"/>
      <c r="Y278" s="16"/>
      <c r="AR278"/>
      <c r="BX278"/>
    </row>
    <row r="279" spans="24:76" ht="14.55" customHeight="1">
      <c r="X279" s="21"/>
      <c r="Y279" s="16"/>
      <c r="AR279"/>
      <c r="BX279"/>
    </row>
    <row r="280" spans="24:76" ht="14.55" customHeight="1">
      <c r="X280" s="21"/>
      <c r="Y280" s="16"/>
      <c r="AR280"/>
      <c r="BX280"/>
    </row>
    <row r="281" spans="24:76" ht="14.55" customHeight="1">
      <c r="X281" s="21"/>
      <c r="Y281" s="16"/>
      <c r="AR281"/>
      <c r="BX281"/>
    </row>
    <row r="282" spans="24:76" ht="14.55" customHeight="1">
      <c r="X282" s="21"/>
      <c r="Y282" s="16"/>
      <c r="AR282"/>
      <c r="BX282"/>
    </row>
    <row r="283" spans="24:76" ht="14.55" customHeight="1">
      <c r="X283" s="21"/>
      <c r="Y283" s="16"/>
      <c r="AR283"/>
      <c r="BX283"/>
    </row>
    <row r="284" spans="24:76" ht="14.55" customHeight="1">
      <c r="X284" s="21"/>
      <c r="Y284" s="16"/>
      <c r="AR284"/>
      <c r="BX284"/>
    </row>
    <row r="285" spans="24:76" ht="14.55" customHeight="1">
      <c r="X285" s="21"/>
      <c r="Y285" s="16"/>
      <c r="AR285"/>
      <c r="BX285"/>
    </row>
    <row r="286" spans="24:76" ht="14.55" customHeight="1">
      <c r="X286" s="21"/>
      <c r="Y286" s="16"/>
      <c r="AR286"/>
      <c r="BX286"/>
    </row>
    <row r="287" spans="24:76" ht="14.55" customHeight="1">
      <c r="X287" s="21"/>
      <c r="Y287" s="16"/>
      <c r="AR287"/>
      <c r="BX287"/>
    </row>
    <row r="288" spans="24:76" ht="14.55" customHeight="1">
      <c r="X288" s="21"/>
      <c r="Y288" s="16"/>
      <c r="AR288"/>
      <c r="BX288"/>
    </row>
    <row r="289" spans="24:76" ht="14.55" customHeight="1">
      <c r="X289" s="21"/>
      <c r="Y289" s="16"/>
      <c r="AR289"/>
      <c r="BX289"/>
    </row>
    <row r="290" spans="24:76" ht="14.55" customHeight="1">
      <c r="X290" s="21"/>
      <c r="Y290" s="16"/>
      <c r="AR290"/>
      <c r="BX290"/>
    </row>
    <row r="291" spans="24:76" ht="14.55" customHeight="1">
      <c r="X291" s="21"/>
      <c r="Y291" s="16"/>
      <c r="AR291"/>
      <c r="BX291"/>
    </row>
    <row r="292" spans="24:76" ht="14.55" customHeight="1">
      <c r="X292" s="21"/>
      <c r="Y292" s="16"/>
      <c r="AR292"/>
      <c r="BX292"/>
    </row>
    <row r="293" spans="24:76" ht="14.55" customHeight="1">
      <c r="X293" s="21"/>
      <c r="Y293" s="16"/>
      <c r="AR293"/>
      <c r="BX293"/>
    </row>
    <row r="294" spans="24:76" ht="14.55" customHeight="1">
      <c r="X294" s="21"/>
      <c r="Y294" s="16"/>
      <c r="AR294"/>
      <c r="BX294"/>
    </row>
    <row r="295" spans="24:76" ht="14.55" customHeight="1">
      <c r="X295" s="21"/>
      <c r="Y295" s="16"/>
      <c r="AR295"/>
      <c r="BX295"/>
    </row>
    <row r="296" spans="24:76" ht="14.55" customHeight="1">
      <c r="X296" s="21"/>
      <c r="Y296" s="16"/>
      <c r="AR296"/>
      <c r="BX296"/>
    </row>
    <row r="297" spans="24:76" ht="14.55" customHeight="1">
      <c r="X297" s="21"/>
      <c r="Y297" s="16"/>
      <c r="AR297"/>
      <c r="BX297"/>
    </row>
    <row r="298" spans="24:76" ht="14.55" customHeight="1">
      <c r="X298" s="21"/>
      <c r="Y298" s="16"/>
      <c r="AR298"/>
      <c r="BX298"/>
    </row>
    <row r="299" spans="24:76" ht="14.55" customHeight="1">
      <c r="X299" s="21"/>
      <c r="Y299" s="16"/>
      <c r="AR299"/>
      <c r="BX299"/>
    </row>
    <row r="300" spans="24:76" ht="14.55" customHeight="1">
      <c r="X300" s="21"/>
      <c r="Y300" s="16"/>
      <c r="AR300"/>
      <c r="BX300"/>
    </row>
    <row r="301" spans="24:76" ht="14.55" customHeight="1">
      <c r="X301" s="21"/>
      <c r="Y301" s="16"/>
      <c r="AR301"/>
      <c r="BX301"/>
    </row>
    <row r="302" spans="24:76" ht="19.2" customHeight="1">
      <c r="X302" s="21"/>
      <c r="Y302" s="16"/>
      <c r="AR302"/>
      <c r="BX302"/>
    </row>
    <row r="303" spans="24:76" ht="14.55" customHeight="1">
      <c r="X303" s="21"/>
      <c r="Y303" s="16"/>
      <c r="AR303"/>
      <c r="BX303"/>
    </row>
    <row r="304" spans="24:76" ht="14.55" customHeight="1">
      <c r="X304" s="21"/>
      <c r="Y304" s="16"/>
      <c r="AR304"/>
      <c r="BX304"/>
    </row>
    <row r="305" spans="24:76" ht="14.55" customHeight="1">
      <c r="X305" s="21"/>
      <c r="Y305" s="16"/>
      <c r="AR305"/>
      <c r="BX305"/>
    </row>
    <row r="306" spans="24:76" ht="14.55" customHeight="1">
      <c r="X306" s="21"/>
      <c r="Y306" s="16"/>
      <c r="AR306"/>
      <c r="BX306"/>
    </row>
    <row r="307" spans="24:76" ht="14.55" customHeight="1">
      <c r="X307" s="21"/>
      <c r="Y307" s="16"/>
      <c r="AR307"/>
      <c r="BX307"/>
    </row>
    <row r="308" spans="24:76" ht="14.55" customHeight="1">
      <c r="X308" s="21"/>
      <c r="Y308" s="16"/>
      <c r="AR308"/>
      <c r="BX308"/>
    </row>
    <row r="309" spans="24:76" ht="14.55" customHeight="1">
      <c r="X309" s="21"/>
      <c r="Y309" s="16"/>
      <c r="AR309"/>
      <c r="BX309"/>
    </row>
    <row r="310" spans="24:76" ht="14.55" customHeight="1">
      <c r="X310" s="21"/>
      <c r="Y310" s="16"/>
      <c r="AR310"/>
      <c r="BX310"/>
    </row>
    <row r="311" spans="24:76" ht="14.55" customHeight="1">
      <c r="X311" s="21"/>
      <c r="Y311" s="16"/>
      <c r="AR311"/>
      <c r="BX311"/>
    </row>
    <row r="312" spans="24:76" ht="14.55" customHeight="1">
      <c r="X312" s="21"/>
      <c r="Y312" s="16"/>
      <c r="AR312"/>
      <c r="BX312"/>
    </row>
    <row r="313" spans="24:76" ht="14.55" customHeight="1">
      <c r="X313" s="21"/>
      <c r="Y313" s="16"/>
      <c r="AR313"/>
      <c r="BX313"/>
    </row>
    <row r="314" spans="24:76" ht="14.55" customHeight="1">
      <c r="X314" s="21"/>
      <c r="Y314" s="16"/>
      <c r="AR314"/>
      <c r="BX314"/>
    </row>
    <row r="315" spans="24:76" ht="14.55" customHeight="1">
      <c r="X315" s="21"/>
      <c r="Y315" s="16"/>
      <c r="AR315"/>
      <c r="BX315"/>
    </row>
    <row r="316" spans="24:76" ht="14.55" customHeight="1">
      <c r="X316" s="21"/>
      <c r="Y316" s="16"/>
      <c r="AR316"/>
      <c r="BX316"/>
    </row>
    <row r="317" spans="24:76" ht="14.55" customHeight="1">
      <c r="X317" s="21"/>
      <c r="Y317" s="16"/>
      <c r="AR317"/>
      <c r="BX317"/>
    </row>
    <row r="318" spans="24:76" ht="14.55" customHeight="1">
      <c r="X318" s="21"/>
      <c r="Y318" s="16"/>
      <c r="AR318"/>
      <c r="BX318"/>
    </row>
    <row r="319" spans="24:76" ht="14.55" customHeight="1">
      <c r="X319" s="21"/>
      <c r="Y319" s="16"/>
      <c r="AR319"/>
      <c r="BX319"/>
    </row>
    <row r="320" spans="24:76" ht="14.55" customHeight="1">
      <c r="X320" s="21"/>
      <c r="Y320" s="16"/>
      <c r="AR320"/>
      <c r="BX320"/>
    </row>
    <row r="321" spans="24:76" ht="14.55" customHeight="1">
      <c r="X321" s="21"/>
      <c r="Y321" s="16"/>
      <c r="AR321"/>
      <c r="BX321"/>
    </row>
    <row r="322" spans="24:76" ht="14.55" customHeight="1">
      <c r="X322" s="21"/>
      <c r="Y322" s="16"/>
      <c r="AR322"/>
      <c r="BX322"/>
    </row>
    <row r="323" spans="24:76" ht="14.55" customHeight="1">
      <c r="X323" s="21"/>
      <c r="Y323" s="16"/>
      <c r="AR323"/>
      <c r="BX323"/>
    </row>
    <row r="324" spans="24:76" ht="14.55" customHeight="1">
      <c r="X324" s="21"/>
      <c r="Y324" s="16"/>
      <c r="AR324"/>
      <c r="BX324"/>
    </row>
    <row r="325" spans="24:76" ht="14.55" customHeight="1">
      <c r="X325" s="21"/>
      <c r="Y325" s="16"/>
      <c r="AR325"/>
      <c r="BX325"/>
    </row>
    <row r="326" spans="24:76" ht="14.55" customHeight="1">
      <c r="X326" s="21"/>
      <c r="Y326" s="16"/>
      <c r="AR326"/>
      <c r="BX326"/>
    </row>
    <row r="327" spans="24:76" ht="14.55" customHeight="1">
      <c r="X327" s="21"/>
      <c r="Y327" s="16"/>
      <c r="AR327"/>
      <c r="BX327"/>
    </row>
    <row r="328" spans="24:76" ht="14.55" customHeight="1">
      <c r="X328" s="21"/>
      <c r="Y328" s="16"/>
      <c r="AR328"/>
      <c r="BX328"/>
    </row>
    <row r="329" spans="24:76" ht="14.55" customHeight="1">
      <c r="X329" s="21"/>
      <c r="Y329" s="16"/>
      <c r="AR329"/>
      <c r="BX329"/>
    </row>
    <row r="330" spans="24:76">
      <c r="X330" s="21"/>
      <c r="Y330" s="16"/>
      <c r="AR330"/>
      <c r="BX330"/>
    </row>
    <row r="331" spans="24:76">
      <c r="X331" s="21"/>
      <c r="Y331" s="16"/>
      <c r="AR331"/>
      <c r="BX331"/>
    </row>
    <row r="332" spans="24:76">
      <c r="X332" s="21"/>
      <c r="Y332" s="16"/>
      <c r="AR332"/>
      <c r="BX332"/>
    </row>
    <row r="333" spans="24:76">
      <c r="X333" s="21"/>
      <c r="Y333" s="16"/>
      <c r="AR333"/>
      <c r="BX333"/>
    </row>
    <row r="334" spans="24:76">
      <c r="X334" s="21"/>
      <c r="Y334" s="16"/>
      <c r="AR334"/>
      <c r="BX334"/>
    </row>
    <row r="335" spans="24:76">
      <c r="X335" s="21"/>
      <c r="Y335" s="16"/>
      <c r="AR335"/>
      <c r="BX335"/>
    </row>
    <row r="336" spans="24:76">
      <c r="X336" s="21"/>
      <c r="Y336" s="16"/>
      <c r="AR336"/>
      <c r="BX336"/>
    </row>
    <row r="337" spans="24:76">
      <c r="X337" s="21"/>
      <c r="Y337" s="16"/>
      <c r="AR337"/>
      <c r="BX337"/>
    </row>
    <row r="338" spans="24:76">
      <c r="X338" s="21"/>
      <c r="Y338" s="16"/>
      <c r="AR338"/>
      <c r="BX338"/>
    </row>
    <row r="339" spans="24:76">
      <c r="X339" s="21"/>
      <c r="Y339" s="16"/>
      <c r="AR339"/>
      <c r="BX339"/>
    </row>
    <row r="340" spans="24:76">
      <c r="X340" s="21"/>
      <c r="Y340" s="16"/>
      <c r="AR340"/>
      <c r="BX340"/>
    </row>
    <row r="341" spans="24:76">
      <c r="X341" s="21"/>
      <c r="Y341" s="16"/>
      <c r="AR341"/>
      <c r="BX341"/>
    </row>
    <row r="342" spans="24:76">
      <c r="X342" s="21"/>
      <c r="Y342" s="16"/>
      <c r="AR342"/>
      <c r="BX342"/>
    </row>
    <row r="343" spans="24:76">
      <c r="X343" s="21"/>
      <c r="Y343" s="16"/>
      <c r="AR343"/>
      <c r="BX343"/>
    </row>
    <row r="344" spans="24:76">
      <c r="X344" s="21"/>
      <c r="Y344" s="16"/>
      <c r="AR344"/>
      <c r="BX344"/>
    </row>
    <row r="345" spans="24:76">
      <c r="X345" s="21"/>
      <c r="Y345" s="16"/>
      <c r="AR345"/>
      <c r="BX345"/>
    </row>
    <row r="346" spans="24:76">
      <c r="X346" s="21"/>
      <c r="Y346" s="16"/>
      <c r="AR346"/>
      <c r="BX346"/>
    </row>
    <row r="347" spans="24:76">
      <c r="X347" s="21"/>
      <c r="Y347" s="16"/>
      <c r="AR347"/>
      <c r="BX347"/>
    </row>
    <row r="348" spans="24:76">
      <c r="X348" s="21"/>
      <c r="Y348" s="16"/>
      <c r="AR348"/>
      <c r="BX348"/>
    </row>
    <row r="349" spans="24:76">
      <c r="X349" s="21"/>
      <c r="Y349" s="16"/>
      <c r="AR349"/>
      <c r="BX349"/>
    </row>
    <row r="350" spans="24:76">
      <c r="X350" s="21"/>
      <c r="Y350" s="16"/>
      <c r="AR350"/>
      <c r="BX350"/>
    </row>
    <row r="351" spans="24:76">
      <c r="X351" s="21"/>
      <c r="Y351" s="16"/>
      <c r="AR351"/>
      <c r="BX351"/>
    </row>
    <row r="352" spans="24:76">
      <c r="X352" s="21"/>
      <c r="Y352" s="16"/>
      <c r="AR352"/>
      <c r="BX352"/>
    </row>
    <row r="353" spans="24:76">
      <c r="X353" s="21"/>
      <c r="Y353" s="16"/>
      <c r="AR353"/>
      <c r="BX353"/>
    </row>
    <row r="354" spans="24:76">
      <c r="X354" s="21"/>
      <c r="Y354" s="16"/>
      <c r="AR354"/>
      <c r="BX354"/>
    </row>
    <row r="355" spans="24:76">
      <c r="X355" s="21"/>
      <c r="Y355" s="16"/>
      <c r="AR355"/>
      <c r="BX355"/>
    </row>
    <row r="356" spans="24:76">
      <c r="X356" s="21"/>
      <c r="Y356" s="16"/>
      <c r="AR356"/>
      <c r="BX356"/>
    </row>
    <row r="357" spans="24:76">
      <c r="X357" s="21"/>
      <c r="Y357" s="16"/>
      <c r="AR357"/>
      <c r="BX357"/>
    </row>
    <row r="358" spans="24:76">
      <c r="X358" s="21"/>
      <c r="Y358" s="16"/>
      <c r="AR358"/>
      <c r="BX358"/>
    </row>
    <row r="359" spans="24:76">
      <c r="X359" s="21"/>
      <c r="Y359" s="16"/>
      <c r="AR359"/>
      <c r="BX359"/>
    </row>
    <row r="360" spans="24:76">
      <c r="X360" s="21"/>
      <c r="Y360" s="16"/>
      <c r="AR360"/>
      <c r="BX360"/>
    </row>
    <row r="361" spans="24:76">
      <c r="X361" s="21"/>
      <c r="Y361" s="16"/>
      <c r="AR361"/>
      <c r="BX361"/>
    </row>
    <row r="362" spans="24:76">
      <c r="X362" s="21"/>
      <c r="Y362" s="16"/>
      <c r="AR362"/>
      <c r="BX362"/>
    </row>
    <row r="363" spans="24:76">
      <c r="X363" s="21"/>
      <c r="Y363" s="16"/>
      <c r="AR363"/>
      <c r="BX363"/>
    </row>
    <row r="364" spans="24:76">
      <c r="X364" s="21"/>
      <c r="Y364" s="16"/>
      <c r="AR364"/>
      <c r="BX364"/>
    </row>
    <row r="365" spans="24:76">
      <c r="X365" s="21"/>
      <c r="Y365" s="16"/>
      <c r="AR365"/>
      <c r="BX365"/>
    </row>
    <row r="366" spans="24:76">
      <c r="X366" s="21"/>
      <c r="Y366" s="16"/>
      <c r="AR366"/>
      <c r="BX366"/>
    </row>
    <row r="367" spans="24:76">
      <c r="X367" s="21"/>
      <c r="Y367" s="16"/>
      <c r="AR367"/>
      <c r="BX367"/>
    </row>
    <row r="368" spans="24:76">
      <c r="X368" s="21"/>
      <c r="Y368" s="16"/>
      <c r="AR368"/>
      <c r="BX368"/>
    </row>
    <row r="369" spans="24:76">
      <c r="X369" s="21"/>
      <c r="Y369" s="16"/>
      <c r="AR369"/>
      <c r="BX369"/>
    </row>
    <row r="370" spans="24:76">
      <c r="X370" s="21"/>
      <c r="Y370" s="16"/>
      <c r="AR370"/>
      <c r="BX370"/>
    </row>
    <row r="371" spans="24:76">
      <c r="X371" s="21"/>
      <c r="Y371" s="16"/>
      <c r="AR371"/>
      <c r="BX371"/>
    </row>
    <row r="372" spans="24:76">
      <c r="X372" s="21"/>
      <c r="Y372" s="16"/>
      <c r="AR372"/>
      <c r="BX372"/>
    </row>
    <row r="373" spans="24:76">
      <c r="X373" s="21"/>
      <c r="Y373" s="16"/>
      <c r="BX373"/>
    </row>
    <row r="374" spans="24:76">
      <c r="X374" s="21"/>
      <c r="Y374" s="16"/>
      <c r="BX374"/>
    </row>
    <row r="375" spans="24:76">
      <c r="X375" s="21"/>
      <c r="Y375" s="16"/>
      <c r="BX375"/>
    </row>
    <row r="376" spans="24:76">
      <c r="X376" s="21"/>
      <c r="BX376"/>
    </row>
    <row r="377" spans="24:76">
      <c r="X377" s="21"/>
      <c r="BX377"/>
    </row>
    <row r="378" spans="24:76">
      <c r="X378" s="21"/>
      <c r="BX378"/>
    </row>
    <row r="379" spans="24:76">
      <c r="X379" s="21"/>
      <c r="BX379"/>
    </row>
    <row r="380" spans="24:76">
      <c r="X380" s="21"/>
      <c r="BX380"/>
    </row>
    <row r="381" spans="24:76">
      <c r="X381" s="21"/>
      <c r="BX381"/>
    </row>
    <row r="382" spans="24:76">
      <c r="X382" s="21"/>
      <c r="BX382"/>
    </row>
    <row r="383" spans="24:76">
      <c r="X383" s="21"/>
      <c r="BX383"/>
    </row>
    <row r="384" spans="24:76">
      <c r="X384" s="21"/>
      <c r="BX384"/>
    </row>
    <row r="385" spans="24:76">
      <c r="X385" s="21"/>
      <c r="BX385"/>
    </row>
    <row r="386" spans="24:76">
      <c r="X386" s="21"/>
      <c r="BX386"/>
    </row>
    <row r="387" spans="24:76">
      <c r="X387" s="21"/>
      <c r="BX387"/>
    </row>
    <row r="388" spans="24:76">
      <c r="X388" s="21"/>
      <c r="BX388"/>
    </row>
    <row r="389" spans="24:76">
      <c r="X389" s="21"/>
      <c r="BX389"/>
    </row>
    <row r="390" spans="24:76">
      <c r="X390" s="21"/>
      <c r="BX390"/>
    </row>
    <row r="391" spans="24:76">
      <c r="X391" s="21"/>
      <c r="BX391"/>
    </row>
    <row r="392" spans="24:76">
      <c r="X392" s="21"/>
      <c r="BX392"/>
    </row>
    <row r="393" spans="24:76">
      <c r="X393" s="21"/>
      <c r="BX393"/>
    </row>
    <row r="394" spans="24:76">
      <c r="X394" s="21"/>
      <c r="BX394"/>
    </row>
    <row r="395" spans="24:76">
      <c r="X395" s="21"/>
      <c r="BX395"/>
    </row>
    <row r="396" spans="24:76">
      <c r="X396" s="21"/>
      <c r="BX396"/>
    </row>
    <row r="397" spans="24:76">
      <c r="X397" s="21"/>
      <c r="BX397"/>
    </row>
    <row r="398" spans="24:76">
      <c r="X398" s="21"/>
      <c r="BX398"/>
    </row>
    <row r="399" spans="24:76">
      <c r="X399" s="21"/>
      <c r="BX399"/>
    </row>
    <row r="400" spans="24:76">
      <c r="X400" s="21"/>
      <c r="BX400"/>
    </row>
    <row r="401" spans="24:76">
      <c r="X401" s="21"/>
      <c r="BX401"/>
    </row>
    <row r="402" spans="24:76">
      <c r="X402" s="21"/>
      <c r="BX402"/>
    </row>
    <row r="403" spans="24:76">
      <c r="X403" s="21"/>
      <c r="BX403"/>
    </row>
    <row r="404" spans="24:76">
      <c r="X404" s="21"/>
      <c r="BX404"/>
    </row>
    <row r="405" spans="24:76">
      <c r="X405" s="21"/>
      <c r="BX405"/>
    </row>
    <row r="406" spans="24:76">
      <c r="X406" s="21"/>
      <c r="BX406"/>
    </row>
    <row r="407" spans="24:76">
      <c r="X407" s="21"/>
      <c r="BX407"/>
    </row>
    <row r="408" spans="24:76">
      <c r="X408" s="21"/>
      <c r="BX408"/>
    </row>
    <row r="409" spans="24:76">
      <c r="X409" s="21"/>
      <c r="BX409"/>
    </row>
    <row r="410" spans="24:76">
      <c r="X410" s="21"/>
      <c r="BX410"/>
    </row>
    <row r="411" spans="24:76">
      <c r="X411" s="21"/>
      <c r="BX411"/>
    </row>
    <row r="412" spans="24:76">
      <c r="X412" s="21"/>
      <c r="BX412"/>
    </row>
    <row r="413" spans="24:76">
      <c r="X413" s="21"/>
      <c r="BX413"/>
    </row>
    <row r="414" spans="24:76">
      <c r="X414" s="21"/>
      <c r="BX414"/>
    </row>
    <row r="415" spans="24:76">
      <c r="X415" s="21"/>
      <c r="BX415"/>
    </row>
    <row r="416" spans="24:76">
      <c r="X416" s="21"/>
      <c r="BX416"/>
    </row>
    <row r="417" spans="24:76">
      <c r="X417" s="21"/>
      <c r="BX417"/>
    </row>
    <row r="418" spans="24:76">
      <c r="X418" s="21"/>
      <c r="BX418"/>
    </row>
    <row r="419" spans="24:76">
      <c r="X419" s="21"/>
      <c r="BX419"/>
    </row>
    <row r="420" spans="24:76">
      <c r="X420" s="21"/>
      <c r="BX420"/>
    </row>
    <row r="421" spans="24:76">
      <c r="X421" s="21"/>
      <c r="BX421"/>
    </row>
    <row r="422" spans="24:76">
      <c r="X422" s="21"/>
      <c r="BX422"/>
    </row>
    <row r="423" spans="24:76">
      <c r="X423" s="21"/>
      <c r="BX423"/>
    </row>
    <row r="424" spans="24:76">
      <c r="X424" s="21"/>
      <c r="BX424"/>
    </row>
    <row r="425" spans="24:76">
      <c r="X425" s="21"/>
      <c r="BX425"/>
    </row>
    <row r="426" spans="24:76">
      <c r="X426" s="21"/>
      <c r="BX426"/>
    </row>
    <row r="427" spans="24:76">
      <c r="X427" s="21"/>
      <c r="BX427"/>
    </row>
    <row r="428" spans="24:76">
      <c r="X428" s="21"/>
      <c r="BX428"/>
    </row>
    <row r="429" spans="24:76">
      <c r="X429" s="21"/>
      <c r="BX429"/>
    </row>
    <row r="430" spans="24:76">
      <c r="X430" s="21"/>
      <c r="BX430"/>
    </row>
    <row r="431" spans="24:76">
      <c r="X431" s="21"/>
      <c r="BX431"/>
    </row>
    <row r="432" spans="24:76">
      <c r="X432" s="21"/>
      <c r="BX432"/>
    </row>
    <row r="433" spans="24:76">
      <c r="X433" s="21"/>
      <c r="BX433"/>
    </row>
    <row r="434" spans="24:76">
      <c r="X434" s="21"/>
      <c r="BX434"/>
    </row>
    <row r="435" spans="24:76">
      <c r="X435" s="21"/>
      <c r="BX435"/>
    </row>
    <row r="436" spans="24:76">
      <c r="X436" s="21"/>
      <c r="BX436"/>
    </row>
    <row r="437" spans="24:76">
      <c r="X437" s="21"/>
      <c r="BX437"/>
    </row>
    <row r="438" spans="24:76">
      <c r="X438" s="21"/>
      <c r="BX438"/>
    </row>
    <row r="439" spans="24:76">
      <c r="X439" s="21"/>
      <c r="BX439"/>
    </row>
    <row r="440" spans="24:76">
      <c r="X440" s="21"/>
      <c r="BX440"/>
    </row>
    <row r="441" spans="24:76">
      <c r="X441" s="21"/>
      <c r="BX441"/>
    </row>
    <row r="442" spans="24:76">
      <c r="X442" s="21"/>
      <c r="BX442"/>
    </row>
    <row r="443" spans="24:76">
      <c r="X443" s="21"/>
      <c r="BX443"/>
    </row>
    <row r="444" spans="24:76">
      <c r="X444" s="21"/>
      <c r="BX444"/>
    </row>
    <row r="445" spans="24:76">
      <c r="X445" s="21"/>
      <c r="BX445"/>
    </row>
    <row r="446" spans="24:76">
      <c r="X446" s="21"/>
      <c r="BX446"/>
    </row>
    <row r="447" spans="24:76">
      <c r="X447" s="21"/>
      <c r="BX447"/>
    </row>
    <row r="448" spans="24:76">
      <c r="X448" s="21"/>
      <c r="BX448"/>
    </row>
    <row r="449" spans="24:76">
      <c r="X449" s="21"/>
      <c r="BX449"/>
    </row>
    <row r="450" spans="24:76">
      <c r="X450" s="21"/>
      <c r="BX450"/>
    </row>
    <row r="451" spans="24:76">
      <c r="X451" s="21"/>
      <c r="BX451"/>
    </row>
    <row r="452" spans="24:76">
      <c r="X452" s="21"/>
      <c r="BX452"/>
    </row>
    <row r="453" spans="24:76">
      <c r="X453" s="21"/>
      <c r="BX453"/>
    </row>
    <row r="454" spans="24:76">
      <c r="X454" s="21"/>
      <c r="BX454"/>
    </row>
    <row r="455" spans="24:76">
      <c r="X455" s="21"/>
      <c r="BX455"/>
    </row>
    <row r="456" spans="24:76">
      <c r="X456" s="21"/>
      <c r="BX456"/>
    </row>
    <row r="457" spans="24:76">
      <c r="X457" s="21"/>
      <c r="BX457"/>
    </row>
    <row r="458" spans="24:76">
      <c r="X458" s="21"/>
      <c r="BX458"/>
    </row>
    <row r="459" spans="24:76">
      <c r="X459" s="21"/>
      <c r="BX459"/>
    </row>
    <row r="460" spans="24:76">
      <c r="X460" s="21"/>
      <c r="BX460"/>
    </row>
    <row r="461" spans="24:76">
      <c r="X461" s="21"/>
      <c r="BX461"/>
    </row>
    <row r="462" spans="24:76">
      <c r="X462" s="21"/>
      <c r="BX462"/>
    </row>
    <row r="463" spans="24:76">
      <c r="X463" s="21"/>
      <c r="BX463"/>
    </row>
    <row r="464" spans="24:76">
      <c r="X464" s="21"/>
      <c r="BX464"/>
    </row>
    <row r="465" spans="24:76">
      <c r="X465" s="21"/>
      <c r="BX465"/>
    </row>
    <row r="466" spans="24:76">
      <c r="X466" s="21"/>
      <c r="BX466"/>
    </row>
    <row r="467" spans="24:76">
      <c r="X467" s="21"/>
      <c r="BX467"/>
    </row>
    <row r="468" spans="24:76">
      <c r="X468" s="21"/>
      <c r="BX468"/>
    </row>
    <row r="469" spans="24:76">
      <c r="X469" s="21"/>
      <c r="BX469"/>
    </row>
    <row r="470" spans="24:76">
      <c r="X470" s="21"/>
      <c r="BX470"/>
    </row>
    <row r="471" spans="24:76">
      <c r="X471" s="21"/>
      <c r="BX471"/>
    </row>
    <row r="472" spans="24:76">
      <c r="X472" s="21"/>
      <c r="BX472"/>
    </row>
    <row r="473" spans="24:76">
      <c r="X473" s="21"/>
      <c r="BX473"/>
    </row>
    <row r="474" spans="24:76">
      <c r="X474" s="21"/>
      <c r="BX474"/>
    </row>
    <row r="475" spans="24:76">
      <c r="X475" s="21"/>
      <c r="BX475"/>
    </row>
    <row r="476" spans="24:76">
      <c r="X476" s="21"/>
      <c r="BX476"/>
    </row>
    <row r="477" spans="24:76">
      <c r="X477" s="21"/>
      <c r="BX477"/>
    </row>
    <row r="478" spans="24:76">
      <c r="X478" s="21"/>
      <c r="BX478"/>
    </row>
    <row r="479" spans="24:76">
      <c r="X479" s="21"/>
      <c r="BX479"/>
    </row>
    <row r="480" spans="24:76">
      <c r="X480" s="21"/>
      <c r="BX480"/>
    </row>
    <row r="481" spans="24:76">
      <c r="X481" s="21"/>
      <c r="BX481"/>
    </row>
    <row r="482" spans="24:76">
      <c r="X482" s="21"/>
      <c r="BX482"/>
    </row>
    <row r="483" spans="24:76">
      <c r="X483" s="21"/>
      <c r="BX483"/>
    </row>
    <row r="484" spans="24:76">
      <c r="X484" s="21"/>
      <c r="BX484"/>
    </row>
    <row r="485" spans="24:76">
      <c r="X485" s="21"/>
      <c r="BX485"/>
    </row>
    <row r="486" spans="24:76">
      <c r="X486" s="21"/>
      <c r="BX486"/>
    </row>
    <row r="487" spans="24:76">
      <c r="X487" s="21"/>
      <c r="BX487"/>
    </row>
    <row r="488" spans="24:76">
      <c r="X488" s="21"/>
      <c r="BX488"/>
    </row>
    <row r="489" spans="24:76">
      <c r="X489" s="21"/>
      <c r="BX489"/>
    </row>
    <row r="490" spans="24:76">
      <c r="X490" s="21"/>
      <c r="BX490"/>
    </row>
    <row r="491" spans="24:76">
      <c r="X491" s="21"/>
      <c r="BX491"/>
    </row>
    <row r="492" spans="24:76">
      <c r="X492" s="21"/>
      <c r="BX492"/>
    </row>
    <row r="493" spans="24:76">
      <c r="X493" s="21"/>
      <c r="BX493"/>
    </row>
    <row r="494" spans="24:76">
      <c r="X494" s="21"/>
      <c r="BX494"/>
    </row>
    <row r="495" spans="24:76">
      <c r="X495" s="21"/>
      <c r="BX495"/>
    </row>
    <row r="496" spans="24:76">
      <c r="X496" s="21"/>
      <c r="BX496"/>
    </row>
    <row r="497" spans="24:76">
      <c r="X497" s="21"/>
      <c r="BX497"/>
    </row>
    <row r="498" spans="24:76">
      <c r="X498" s="21"/>
      <c r="BX498"/>
    </row>
    <row r="499" spans="24:76">
      <c r="X499" s="21"/>
      <c r="BX499"/>
    </row>
    <row r="500" spans="24:76">
      <c r="X500" s="21"/>
      <c r="BX500"/>
    </row>
    <row r="501" spans="24:76">
      <c r="X501" s="21"/>
      <c r="BX501"/>
    </row>
    <row r="502" spans="24:76">
      <c r="X502" s="21"/>
      <c r="BX502"/>
    </row>
    <row r="503" spans="24:76">
      <c r="X503" s="21"/>
      <c r="BX503"/>
    </row>
    <row r="504" spans="24:76">
      <c r="X504" s="21"/>
      <c r="BX504"/>
    </row>
    <row r="505" spans="24:76">
      <c r="X505" s="21"/>
      <c r="BX505"/>
    </row>
    <row r="506" spans="24:76">
      <c r="X506" s="21"/>
      <c r="BX506"/>
    </row>
    <row r="507" spans="24:76">
      <c r="X507" s="21"/>
      <c r="BX507"/>
    </row>
    <row r="508" spans="24:76">
      <c r="X508" s="21"/>
      <c r="BX508"/>
    </row>
    <row r="509" spans="24:76">
      <c r="X509" s="21"/>
      <c r="BX509"/>
    </row>
    <row r="510" spans="24:76">
      <c r="X510" s="21"/>
      <c r="BX510"/>
    </row>
    <row r="511" spans="24:76">
      <c r="X511" s="21"/>
      <c r="BX511"/>
    </row>
    <row r="512" spans="24:76">
      <c r="X512" s="21"/>
      <c r="BX512"/>
    </row>
    <row r="513" spans="24:76">
      <c r="X513" s="21"/>
      <c r="BX513"/>
    </row>
    <row r="514" spans="24:76">
      <c r="X514" s="21"/>
      <c r="BX514"/>
    </row>
    <row r="515" spans="24:76">
      <c r="X515" s="21"/>
      <c r="BX515"/>
    </row>
    <row r="516" spans="24:76">
      <c r="X516" s="21"/>
      <c r="BX516"/>
    </row>
    <row r="517" spans="24:76">
      <c r="X517" s="21"/>
      <c r="BX517"/>
    </row>
    <row r="518" spans="24:76">
      <c r="X518" s="21"/>
      <c r="BX518"/>
    </row>
    <row r="519" spans="24:76">
      <c r="X519" s="21"/>
      <c r="BX519"/>
    </row>
    <row r="520" spans="24:76">
      <c r="X520" s="21"/>
      <c r="BX520"/>
    </row>
    <row r="521" spans="24:76">
      <c r="X521" s="21"/>
      <c r="BX521"/>
    </row>
    <row r="522" spans="24:76">
      <c r="X522" s="21"/>
      <c r="BX522"/>
    </row>
    <row r="523" spans="24:76">
      <c r="X523" s="21"/>
      <c r="BX523"/>
    </row>
    <row r="524" spans="24:76">
      <c r="X524" s="21"/>
      <c r="BX524"/>
    </row>
    <row r="525" spans="24:76">
      <c r="X525" s="21"/>
      <c r="BX525"/>
    </row>
    <row r="526" spans="24:76">
      <c r="X526" s="21"/>
      <c r="BX526"/>
    </row>
    <row r="527" spans="24:76">
      <c r="X527" s="21"/>
      <c r="BX527"/>
    </row>
    <row r="528" spans="24:76">
      <c r="X528" s="21"/>
      <c r="BX528"/>
    </row>
    <row r="529" spans="24:76">
      <c r="X529" s="21"/>
      <c r="BX529"/>
    </row>
    <row r="530" spans="24:76">
      <c r="X530" s="21"/>
      <c r="BX530"/>
    </row>
    <row r="531" spans="24:76">
      <c r="X531" s="21"/>
      <c r="BX531"/>
    </row>
    <row r="532" spans="24:76">
      <c r="X532" s="21"/>
      <c r="BX532"/>
    </row>
    <row r="533" spans="24:76">
      <c r="X533" s="21"/>
      <c r="BX533"/>
    </row>
    <row r="534" spans="24:76">
      <c r="X534" s="21"/>
      <c r="BX534"/>
    </row>
    <row r="535" spans="24:76">
      <c r="X535" s="21"/>
      <c r="BX535"/>
    </row>
    <row r="536" spans="24:76">
      <c r="X536" s="21"/>
      <c r="BX536"/>
    </row>
    <row r="537" spans="24:76">
      <c r="X537" s="21"/>
      <c r="BX537"/>
    </row>
    <row r="538" spans="24:76">
      <c r="X538" s="21"/>
      <c r="BX538"/>
    </row>
    <row r="539" spans="24:76">
      <c r="X539" s="21"/>
      <c r="BX539"/>
    </row>
    <row r="540" spans="24:76">
      <c r="X540" s="21"/>
      <c r="BX540"/>
    </row>
    <row r="541" spans="24:76">
      <c r="X541" s="21"/>
      <c r="BX541"/>
    </row>
    <row r="542" spans="24:76">
      <c r="X542" s="21"/>
      <c r="BX542"/>
    </row>
    <row r="543" spans="24:76">
      <c r="X543" s="21"/>
      <c r="BX543"/>
    </row>
    <row r="544" spans="24:76">
      <c r="X544" s="21"/>
      <c r="BX544"/>
    </row>
    <row r="545" spans="24:76">
      <c r="X545" s="21"/>
      <c r="BX545"/>
    </row>
    <row r="546" spans="24:76">
      <c r="X546" s="21"/>
      <c r="BX546"/>
    </row>
    <row r="547" spans="24:76">
      <c r="X547" s="21"/>
      <c r="BX547"/>
    </row>
    <row r="548" spans="24:76">
      <c r="X548" s="21"/>
      <c r="BX548"/>
    </row>
    <row r="549" spans="24:76">
      <c r="X549" s="21"/>
      <c r="BX549"/>
    </row>
    <row r="550" spans="24:76">
      <c r="X550" s="21"/>
      <c r="BX550"/>
    </row>
    <row r="551" spans="24:76">
      <c r="X551" s="21"/>
      <c r="BX551"/>
    </row>
    <row r="552" spans="24:76">
      <c r="X552" s="21"/>
      <c r="BX552"/>
    </row>
    <row r="553" spans="24:76">
      <c r="X553" s="21"/>
      <c r="BX553"/>
    </row>
    <row r="554" spans="24:76">
      <c r="X554" s="21"/>
      <c r="BX554"/>
    </row>
    <row r="555" spans="24:76">
      <c r="X555" s="21"/>
      <c r="BX555"/>
    </row>
    <row r="556" spans="24:76">
      <c r="X556" s="21"/>
      <c r="BX556"/>
    </row>
    <row r="557" spans="24:76">
      <c r="X557" s="21"/>
      <c r="BX557"/>
    </row>
    <row r="558" spans="24:76">
      <c r="X558" s="21"/>
      <c r="BX558"/>
    </row>
    <row r="559" spans="24:76">
      <c r="X559" s="21"/>
      <c r="BX559"/>
    </row>
    <row r="560" spans="24:76">
      <c r="X560" s="21"/>
      <c r="BX560"/>
    </row>
    <row r="561" spans="24:76">
      <c r="X561" s="21"/>
      <c r="BX561"/>
    </row>
    <row r="562" spans="24:76">
      <c r="X562" s="21"/>
      <c r="BX562"/>
    </row>
    <row r="563" spans="24:76">
      <c r="X563" s="21"/>
      <c r="BX563"/>
    </row>
    <row r="564" spans="24:76">
      <c r="X564" s="21"/>
      <c r="BX564"/>
    </row>
    <row r="565" spans="24:76">
      <c r="X565" s="21"/>
      <c r="BX565"/>
    </row>
    <row r="566" spans="24:76">
      <c r="X566" s="21"/>
      <c r="BX566"/>
    </row>
    <row r="567" spans="24:76">
      <c r="X567" s="21"/>
      <c r="BX567"/>
    </row>
    <row r="568" spans="24:76">
      <c r="X568" s="21"/>
      <c r="BX568"/>
    </row>
    <row r="569" spans="24:76">
      <c r="X569" s="21"/>
      <c r="BX569"/>
    </row>
    <row r="570" spans="24:76">
      <c r="X570" s="21"/>
      <c r="BX570"/>
    </row>
    <row r="571" spans="24:76">
      <c r="X571" s="21"/>
      <c r="BX571"/>
    </row>
    <row r="572" spans="24:76">
      <c r="X572" s="21"/>
      <c r="BX572"/>
    </row>
    <row r="573" spans="24:76">
      <c r="X573" s="21"/>
      <c r="BX573"/>
    </row>
    <row r="574" spans="24:76">
      <c r="X574" s="21"/>
      <c r="BX574"/>
    </row>
    <row r="575" spans="24:76">
      <c r="X575" s="21"/>
      <c r="BX575"/>
    </row>
    <row r="576" spans="24:76">
      <c r="X576" s="21"/>
      <c r="BX576"/>
    </row>
    <row r="577" spans="24:76">
      <c r="X577" s="21"/>
      <c r="BX577"/>
    </row>
    <row r="578" spans="24:76">
      <c r="X578" s="21"/>
      <c r="BX578"/>
    </row>
    <row r="579" spans="24:76">
      <c r="X579" s="21"/>
      <c r="BX579"/>
    </row>
    <row r="580" spans="24:76">
      <c r="X580" s="21"/>
      <c r="BX580"/>
    </row>
    <row r="581" spans="24:76">
      <c r="X581" s="21"/>
      <c r="BX581"/>
    </row>
    <row r="582" spans="24:76">
      <c r="X582" s="21"/>
      <c r="BX582"/>
    </row>
    <row r="583" spans="24:76">
      <c r="X583" s="21"/>
      <c r="BX583"/>
    </row>
    <row r="584" spans="24:76">
      <c r="X584" s="21"/>
      <c r="BX584"/>
    </row>
    <row r="585" spans="24:76">
      <c r="X585" s="21"/>
      <c r="BX585"/>
    </row>
    <row r="586" spans="24:76">
      <c r="X586" s="21"/>
      <c r="BX586"/>
    </row>
    <row r="587" spans="24:76">
      <c r="X587" s="21"/>
      <c r="BX587"/>
    </row>
    <row r="588" spans="24:76">
      <c r="X588" s="21"/>
      <c r="BX588"/>
    </row>
    <row r="589" spans="24:76">
      <c r="X589" s="21"/>
      <c r="BX589"/>
    </row>
    <row r="590" spans="24:76">
      <c r="X590" s="21"/>
      <c r="BX590"/>
    </row>
    <row r="591" spans="24:76">
      <c r="X591" s="21"/>
      <c r="BX591"/>
    </row>
    <row r="592" spans="24:76">
      <c r="X592" s="21"/>
      <c r="BX592"/>
    </row>
    <row r="593" spans="24:76">
      <c r="X593" s="21"/>
      <c r="BX593"/>
    </row>
    <row r="594" spans="24:76">
      <c r="X594" s="21"/>
      <c r="BX594"/>
    </row>
    <row r="595" spans="24:76">
      <c r="X595" s="21"/>
      <c r="BX595"/>
    </row>
    <row r="596" spans="24:76">
      <c r="X596" s="21"/>
      <c r="BX596"/>
    </row>
    <row r="597" spans="24:76">
      <c r="X597" s="21"/>
      <c r="BX597"/>
    </row>
    <row r="598" spans="24:76">
      <c r="X598" s="21"/>
      <c r="BX598"/>
    </row>
    <row r="599" spans="24:76">
      <c r="X599" s="21"/>
      <c r="BX599"/>
    </row>
    <row r="600" spans="24:76">
      <c r="X600" s="21"/>
      <c r="BX600"/>
    </row>
    <row r="601" spans="24:76">
      <c r="X601" s="21"/>
      <c r="BX601"/>
    </row>
    <row r="602" spans="24:76">
      <c r="X602" s="21"/>
      <c r="BX602"/>
    </row>
    <row r="603" spans="24:76">
      <c r="X603" s="21"/>
      <c r="BX603"/>
    </row>
    <row r="604" spans="24:76">
      <c r="X604" s="21"/>
      <c r="BX604"/>
    </row>
    <row r="605" spans="24:76">
      <c r="X605" s="21"/>
      <c r="BX605"/>
    </row>
    <row r="606" spans="24:76">
      <c r="X606" s="21"/>
      <c r="BX606"/>
    </row>
    <row r="607" spans="24:76">
      <c r="X607" s="21"/>
      <c r="BX607"/>
    </row>
    <row r="608" spans="24:76">
      <c r="X608" s="21"/>
      <c r="BX608"/>
    </row>
    <row r="609" spans="24:76">
      <c r="X609" s="21"/>
      <c r="BX609"/>
    </row>
    <row r="610" spans="24:76">
      <c r="X610" s="21"/>
      <c r="BX610"/>
    </row>
    <row r="611" spans="24:76">
      <c r="X611" s="21"/>
      <c r="BX611"/>
    </row>
    <row r="612" spans="24:76">
      <c r="X612" s="21"/>
      <c r="BX612"/>
    </row>
    <row r="613" spans="24:76">
      <c r="X613" s="21"/>
      <c r="BX613"/>
    </row>
    <row r="614" spans="24:76">
      <c r="X614" s="21"/>
      <c r="BX614"/>
    </row>
    <row r="615" spans="24:76">
      <c r="X615" s="21"/>
      <c r="BX615"/>
    </row>
    <row r="616" spans="24:76">
      <c r="X616" s="21"/>
      <c r="BX616"/>
    </row>
    <row r="617" spans="24:76">
      <c r="X617" s="21"/>
      <c r="BX617"/>
    </row>
    <row r="618" spans="24:76">
      <c r="X618" s="21"/>
      <c r="BX618"/>
    </row>
    <row r="619" spans="24:76">
      <c r="X619" s="21"/>
      <c r="BX619"/>
    </row>
    <row r="620" spans="24:76">
      <c r="X620" s="21"/>
      <c r="BX620"/>
    </row>
    <row r="621" spans="24:76">
      <c r="X621" s="21"/>
      <c r="BX621"/>
    </row>
    <row r="622" spans="24:76">
      <c r="X622" s="21"/>
      <c r="BX622"/>
    </row>
    <row r="623" spans="24:76">
      <c r="X623" s="21"/>
      <c r="BX623"/>
    </row>
    <row r="624" spans="24:76">
      <c r="X624" s="21"/>
      <c r="BX624"/>
    </row>
    <row r="625" spans="24:76">
      <c r="X625" s="21"/>
      <c r="BX625"/>
    </row>
    <row r="626" spans="24:76">
      <c r="X626" s="21"/>
      <c r="BX626"/>
    </row>
    <row r="627" spans="24:76">
      <c r="X627" s="21"/>
      <c r="BX627"/>
    </row>
    <row r="628" spans="24:76">
      <c r="X628" s="21"/>
      <c r="BX628"/>
    </row>
    <row r="629" spans="24:76">
      <c r="X629" s="21"/>
      <c r="BX629"/>
    </row>
    <row r="630" spans="24:76">
      <c r="X630" s="21"/>
      <c r="BX630"/>
    </row>
    <row r="631" spans="24:76">
      <c r="X631" s="21"/>
      <c r="BX631"/>
    </row>
    <row r="632" spans="24:76">
      <c r="X632" s="21"/>
      <c r="BX632"/>
    </row>
    <row r="633" spans="24:76">
      <c r="X633" s="21"/>
      <c r="BX633"/>
    </row>
    <row r="634" spans="24:76">
      <c r="X634" s="21"/>
      <c r="BX634"/>
    </row>
    <row r="635" spans="24:76">
      <c r="X635" s="21"/>
      <c r="BX635"/>
    </row>
    <row r="636" spans="24:76">
      <c r="X636" s="21"/>
      <c r="BX636"/>
    </row>
    <row r="637" spans="24:76">
      <c r="X637" s="21"/>
      <c r="BX637"/>
    </row>
    <row r="638" spans="24:76">
      <c r="X638" s="21"/>
      <c r="BX638"/>
    </row>
    <row r="639" spans="24:76">
      <c r="X639" s="21"/>
      <c r="BX639"/>
    </row>
    <row r="640" spans="24:76">
      <c r="X640" s="21"/>
      <c r="BX640"/>
    </row>
    <row r="641" spans="24:76">
      <c r="X641" s="21"/>
      <c r="BX641"/>
    </row>
    <row r="642" spans="24:76">
      <c r="X642" s="21"/>
      <c r="BX642"/>
    </row>
    <row r="643" spans="24:76">
      <c r="X643" s="21"/>
      <c r="BX643"/>
    </row>
    <row r="644" spans="24:76">
      <c r="X644" s="21"/>
      <c r="BX644"/>
    </row>
    <row r="645" spans="24:76">
      <c r="X645" s="21"/>
      <c r="BX645"/>
    </row>
    <row r="646" spans="24:76">
      <c r="X646" s="21"/>
      <c r="BX646"/>
    </row>
    <row r="647" spans="24:76">
      <c r="X647" s="21"/>
      <c r="BX647"/>
    </row>
    <row r="648" spans="24:76">
      <c r="X648" s="21"/>
      <c r="BX648"/>
    </row>
    <row r="649" spans="24:76">
      <c r="X649" s="21"/>
      <c r="BX649"/>
    </row>
    <row r="650" spans="24:76">
      <c r="X650" s="21"/>
      <c r="BX650"/>
    </row>
    <row r="651" spans="24:76">
      <c r="X651" s="21"/>
      <c r="BX651"/>
    </row>
    <row r="652" spans="24:76">
      <c r="X652" s="21"/>
      <c r="BX652"/>
    </row>
    <row r="653" spans="24:76">
      <c r="X653" s="21"/>
      <c r="BX653"/>
    </row>
    <row r="654" spans="24:76">
      <c r="X654" s="21"/>
      <c r="BX654"/>
    </row>
    <row r="655" spans="24:76">
      <c r="X655" s="21"/>
      <c r="BX655"/>
    </row>
    <row r="656" spans="24:76">
      <c r="X656" s="21"/>
      <c r="BX656"/>
    </row>
    <row r="657" spans="24:76">
      <c r="X657" s="21"/>
      <c r="BX657"/>
    </row>
    <row r="658" spans="24:76">
      <c r="X658" s="21"/>
      <c r="BX658"/>
    </row>
    <row r="659" spans="24:76">
      <c r="X659" s="21"/>
      <c r="BX659"/>
    </row>
    <row r="660" spans="24:76">
      <c r="X660" s="21"/>
      <c r="BX660"/>
    </row>
    <row r="661" spans="24:76">
      <c r="X661" s="21"/>
      <c r="BX661"/>
    </row>
    <row r="662" spans="24:76">
      <c r="X662" s="21"/>
      <c r="BX662"/>
    </row>
    <row r="663" spans="24:76">
      <c r="X663" s="21"/>
      <c r="BX663"/>
    </row>
    <row r="664" spans="24:76">
      <c r="X664" s="21"/>
      <c r="BX664"/>
    </row>
    <row r="665" spans="24:76">
      <c r="X665" s="21"/>
      <c r="BX665"/>
    </row>
    <row r="666" spans="24:76">
      <c r="X666" s="21"/>
      <c r="BX666"/>
    </row>
    <row r="667" spans="24:76">
      <c r="X667" s="21"/>
      <c r="BX667"/>
    </row>
    <row r="668" spans="24:76">
      <c r="X668" s="21"/>
      <c r="BX668"/>
    </row>
    <row r="669" spans="24:76">
      <c r="X669" s="21"/>
      <c r="BX669"/>
    </row>
    <row r="670" spans="24:76">
      <c r="X670" s="21"/>
      <c r="BX670"/>
    </row>
    <row r="671" spans="24:76">
      <c r="X671" s="21"/>
      <c r="BX671"/>
    </row>
    <row r="672" spans="24:76">
      <c r="X672" s="21"/>
      <c r="BX672"/>
    </row>
    <row r="673" spans="24:76">
      <c r="X673" s="21"/>
      <c r="BX673"/>
    </row>
    <row r="674" spans="24:76">
      <c r="X674" s="21"/>
      <c r="BX674"/>
    </row>
    <row r="675" spans="24:76">
      <c r="X675" s="21"/>
      <c r="BX675"/>
    </row>
    <row r="676" spans="24:76">
      <c r="X676" s="21"/>
      <c r="BX676"/>
    </row>
    <row r="677" spans="24:76">
      <c r="X677" s="21"/>
      <c r="BX677"/>
    </row>
    <row r="678" spans="24:76">
      <c r="X678" s="21"/>
      <c r="BX678"/>
    </row>
    <row r="679" spans="24:76">
      <c r="X679" s="21"/>
      <c r="BX679"/>
    </row>
    <row r="680" spans="24:76">
      <c r="X680" s="21"/>
      <c r="BX680"/>
    </row>
    <row r="681" spans="24:76">
      <c r="X681" s="21"/>
      <c r="BX681"/>
    </row>
    <row r="682" spans="24:76">
      <c r="X682" s="21"/>
      <c r="BX682"/>
    </row>
    <row r="683" spans="24:76">
      <c r="X683" s="21"/>
      <c r="BX683"/>
    </row>
    <row r="684" spans="24:76">
      <c r="X684" s="21"/>
      <c r="BX684"/>
    </row>
    <row r="685" spans="24:76">
      <c r="X685" s="21"/>
      <c r="BX685"/>
    </row>
    <row r="686" spans="24:76">
      <c r="X686" s="21"/>
      <c r="BX686"/>
    </row>
    <row r="687" spans="24:76">
      <c r="X687" s="21"/>
      <c r="BX687"/>
    </row>
    <row r="688" spans="24:76">
      <c r="X688" s="21"/>
      <c r="BX688"/>
    </row>
    <row r="689" spans="24:76">
      <c r="X689" s="21"/>
      <c r="BX689"/>
    </row>
    <row r="690" spans="24:76">
      <c r="X690" s="21"/>
      <c r="BX690"/>
    </row>
    <row r="691" spans="24:76">
      <c r="X691" s="21"/>
      <c r="BX691"/>
    </row>
    <row r="692" spans="24:76">
      <c r="X692" s="21"/>
      <c r="BX692"/>
    </row>
    <row r="693" spans="24:76">
      <c r="X693" s="21"/>
      <c r="BX693"/>
    </row>
    <row r="694" spans="24:76">
      <c r="X694" s="21"/>
      <c r="BX694"/>
    </row>
    <row r="695" spans="24:76">
      <c r="X695" s="21"/>
      <c r="BX695"/>
    </row>
    <row r="696" spans="24:76">
      <c r="X696" s="21"/>
      <c r="BX696"/>
    </row>
    <row r="697" spans="24:76">
      <c r="X697" s="21"/>
      <c r="BX697"/>
    </row>
    <row r="698" spans="24:76">
      <c r="X698" s="21"/>
      <c r="BX698"/>
    </row>
    <row r="699" spans="24:76">
      <c r="X699" s="21"/>
      <c r="BX699"/>
    </row>
    <row r="700" spans="24:76">
      <c r="X700" s="21"/>
      <c r="BX700"/>
    </row>
    <row r="701" spans="24:76">
      <c r="X701" s="21"/>
      <c r="BX701"/>
    </row>
    <row r="702" spans="24:76">
      <c r="X702" s="21"/>
      <c r="BX702"/>
    </row>
    <row r="703" spans="24:76">
      <c r="X703" s="21"/>
      <c r="BX703"/>
    </row>
    <row r="704" spans="24:76">
      <c r="X704" s="21"/>
      <c r="BX704"/>
    </row>
    <row r="705" spans="24:76">
      <c r="X705" s="21"/>
      <c r="BX705"/>
    </row>
    <row r="706" spans="24:76">
      <c r="X706" s="21"/>
      <c r="BX706"/>
    </row>
    <row r="707" spans="24:76">
      <c r="X707" s="21"/>
      <c r="BX707"/>
    </row>
    <row r="708" spans="24:76">
      <c r="X708" s="21"/>
      <c r="BX708"/>
    </row>
    <row r="709" spans="24:76">
      <c r="X709" s="21"/>
      <c r="BX709"/>
    </row>
    <row r="710" spans="24:76">
      <c r="X710" s="21"/>
      <c r="BX710"/>
    </row>
    <row r="711" spans="24:76">
      <c r="X711" s="21"/>
      <c r="BX711"/>
    </row>
    <row r="712" spans="24:76">
      <c r="X712" s="21"/>
      <c r="BX712"/>
    </row>
    <row r="713" spans="24:76">
      <c r="X713" s="21"/>
      <c r="BX713"/>
    </row>
    <row r="714" spans="24:76">
      <c r="X714" s="21"/>
      <c r="BX714"/>
    </row>
    <row r="715" spans="24:76">
      <c r="X715" s="21"/>
      <c r="BX715"/>
    </row>
    <row r="716" spans="24:76">
      <c r="X716" s="21"/>
      <c r="BX716"/>
    </row>
    <row r="717" spans="24:76">
      <c r="X717" s="21"/>
      <c r="BX717"/>
    </row>
    <row r="718" spans="24:76">
      <c r="X718" s="21"/>
      <c r="BX718"/>
    </row>
    <row r="719" spans="24:76">
      <c r="X719" s="21"/>
      <c r="BX719"/>
    </row>
    <row r="720" spans="24:76">
      <c r="X720" s="21"/>
      <c r="BX720"/>
    </row>
    <row r="721" spans="24:76">
      <c r="X721" s="21"/>
      <c r="BX721"/>
    </row>
    <row r="722" spans="24:76">
      <c r="X722" s="21"/>
      <c r="BX722"/>
    </row>
    <row r="723" spans="24:76">
      <c r="X723" s="21"/>
      <c r="BX723"/>
    </row>
    <row r="724" spans="24:76">
      <c r="X724" s="21"/>
      <c r="BX724"/>
    </row>
    <row r="725" spans="24:76">
      <c r="X725" s="21"/>
      <c r="BX725"/>
    </row>
    <row r="726" spans="24:76">
      <c r="X726" s="21"/>
      <c r="BX726"/>
    </row>
    <row r="727" spans="24:76">
      <c r="X727" s="21"/>
      <c r="BX727"/>
    </row>
    <row r="728" spans="24:76">
      <c r="X728" s="21"/>
      <c r="BX728"/>
    </row>
    <row r="729" spans="24:76">
      <c r="X729" s="21"/>
      <c r="BX729"/>
    </row>
    <row r="730" spans="24:76">
      <c r="X730" s="21"/>
      <c r="BX730"/>
    </row>
    <row r="731" spans="24:76">
      <c r="X731" s="21"/>
      <c r="BX731"/>
    </row>
    <row r="732" spans="24:76">
      <c r="X732" s="21"/>
      <c r="BX732"/>
    </row>
    <row r="733" spans="24:76">
      <c r="X733" s="21"/>
      <c r="BX733"/>
    </row>
    <row r="734" spans="24:76">
      <c r="X734" s="21"/>
      <c r="BX734"/>
    </row>
    <row r="735" spans="24:76">
      <c r="X735" s="21"/>
      <c r="BX735"/>
    </row>
    <row r="736" spans="24:76">
      <c r="X736" s="21"/>
      <c r="BX736"/>
    </row>
    <row r="737" spans="24:76">
      <c r="X737" s="21"/>
      <c r="BX737"/>
    </row>
    <row r="738" spans="24:76">
      <c r="X738" s="21"/>
      <c r="BX738"/>
    </row>
    <row r="739" spans="24:76">
      <c r="X739" s="21"/>
      <c r="BX739"/>
    </row>
    <row r="740" spans="24:76">
      <c r="X740" s="21"/>
      <c r="BX740"/>
    </row>
    <row r="741" spans="24:76">
      <c r="X741" s="21"/>
      <c r="BX741"/>
    </row>
    <row r="742" spans="24:76">
      <c r="X742" s="21"/>
      <c r="BX742"/>
    </row>
    <row r="743" spans="24:76">
      <c r="X743" s="21"/>
      <c r="BX743"/>
    </row>
    <row r="744" spans="24:76">
      <c r="X744" s="21"/>
      <c r="BX744"/>
    </row>
    <row r="745" spans="24:76">
      <c r="X745" s="21"/>
      <c r="BX745"/>
    </row>
    <row r="746" spans="24:76">
      <c r="X746" s="21"/>
      <c r="BX746"/>
    </row>
    <row r="747" spans="24:76">
      <c r="X747" s="21"/>
      <c r="BX747"/>
    </row>
    <row r="748" spans="24:76">
      <c r="X748" s="21"/>
      <c r="BX748"/>
    </row>
    <row r="749" spans="24:76">
      <c r="X749" s="21"/>
      <c r="BX749"/>
    </row>
    <row r="750" spans="24:76">
      <c r="X750" s="21"/>
      <c r="BX750"/>
    </row>
    <row r="751" spans="24:76">
      <c r="X751" s="21"/>
      <c r="BX751"/>
    </row>
    <row r="752" spans="24:76">
      <c r="X752" s="21"/>
      <c r="BX752"/>
    </row>
    <row r="753" spans="24:76">
      <c r="X753" s="21"/>
      <c r="BX753"/>
    </row>
    <row r="754" spans="24:76">
      <c r="X754" s="21"/>
      <c r="BX754"/>
    </row>
    <row r="755" spans="24:76">
      <c r="X755" s="21"/>
      <c r="BX755"/>
    </row>
    <row r="756" spans="24:76">
      <c r="X756" s="21"/>
      <c r="BX756"/>
    </row>
    <row r="757" spans="24:76">
      <c r="X757" s="21"/>
      <c r="BX757"/>
    </row>
    <row r="758" spans="24:76">
      <c r="X758" s="21"/>
      <c r="BX758"/>
    </row>
    <row r="759" spans="24:76">
      <c r="X759" s="21"/>
      <c r="BX759"/>
    </row>
    <row r="760" spans="24:76">
      <c r="X760" s="21"/>
      <c r="BX760"/>
    </row>
    <row r="761" spans="24:76">
      <c r="X761" s="21"/>
      <c r="BX761"/>
    </row>
    <row r="762" spans="24:76">
      <c r="X762" s="21"/>
      <c r="BX762"/>
    </row>
    <row r="763" spans="24:76">
      <c r="X763" s="21"/>
      <c r="BX763"/>
    </row>
    <row r="764" spans="24:76">
      <c r="X764" s="21"/>
      <c r="BX764"/>
    </row>
    <row r="765" spans="24:76">
      <c r="X765" s="21"/>
      <c r="BX765"/>
    </row>
    <row r="766" spans="24:76">
      <c r="X766" s="21"/>
      <c r="BX766"/>
    </row>
    <row r="767" spans="24:76">
      <c r="X767" s="21"/>
      <c r="BX767"/>
    </row>
    <row r="768" spans="24:76">
      <c r="X768" s="21"/>
      <c r="BX768"/>
    </row>
    <row r="769" spans="24:76">
      <c r="X769" s="21"/>
      <c r="BX769"/>
    </row>
    <row r="770" spans="24:76">
      <c r="X770" s="21"/>
      <c r="BX770"/>
    </row>
    <row r="771" spans="24:76">
      <c r="X771" s="21"/>
      <c r="BX771"/>
    </row>
    <row r="772" spans="24:76">
      <c r="X772" s="21"/>
      <c r="BX772"/>
    </row>
    <row r="773" spans="24:76">
      <c r="X773" s="21"/>
      <c r="BX773"/>
    </row>
    <row r="774" spans="24:76">
      <c r="X774" s="21"/>
      <c r="BX774"/>
    </row>
    <row r="775" spans="24:76">
      <c r="X775" s="21"/>
      <c r="BX775"/>
    </row>
    <row r="776" spans="24:76">
      <c r="X776" s="21"/>
      <c r="BX776"/>
    </row>
    <row r="777" spans="24:76">
      <c r="X777" s="21"/>
      <c r="BX777"/>
    </row>
    <row r="778" spans="24:76">
      <c r="X778" s="21"/>
      <c r="BX778"/>
    </row>
    <row r="779" spans="24:76">
      <c r="X779" s="21"/>
      <c r="BX779"/>
    </row>
    <row r="780" spans="24:76">
      <c r="X780" s="21"/>
      <c r="BX780"/>
    </row>
    <row r="781" spans="24:76">
      <c r="X781" s="21"/>
      <c r="BX781"/>
    </row>
    <row r="782" spans="24:76">
      <c r="X782" s="21"/>
      <c r="BX782"/>
    </row>
    <row r="783" spans="24:76">
      <c r="X783" s="21"/>
      <c r="BX783"/>
    </row>
    <row r="784" spans="24:76">
      <c r="X784" s="21"/>
      <c r="BX784"/>
    </row>
    <row r="785" spans="24:76">
      <c r="X785" s="21"/>
      <c r="BX785"/>
    </row>
    <row r="786" spans="24:76">
      <c r="X786" s="21"/>
      <c r="BX786"/>
    </row>
    <row r="787" spans="24:76">
      <c r="X787" s="21"/>
      <c r="BX787"/>
    </row>
    <row r="788" spans="24:76">
      <c r="X788" s="21"/>
      <c r="BX788"/>
    </row>
    <row r="789" spans="24:76">
      <c r="X789" s="21"/>
      <c r="BX789"/>
    </row>
    <row r="790" spans="24:76">
      <c r="X790" s="21"/>
      <c r="BX790"/>
    </row>
    <row r="791" spans="24:76">
      <c r="X791" s="21"/>
      <c r="BX791"/>
    </row>
    <row r="792" spans="24:76">
      <c r="X792" s="21"/>
      <c r="BX792"/>
    </row>
    <row r="793" spans="24:76">
      <c r="X793" s="21"/>
      <c r="BX793"/>
    </row>
    <row r="794" spans="24:76">
      <c r="X794" s="21"/>
      <c r="BX794"/>
    </row>
    <row r="795" spans="24:76">
      <c r="X795" s="21"/>
      <c r="BX795"/>
    </row>
    <row r="796" spans="24:76">
      <c r="X796" s="21"/>
      <c r="BX796"/>
    </row>
    <row r="797" spans="24:76">
      <c r="X797" s="21"/>
      <c r="BX797"/>
    </row>
    <row r="798" spans="24:76">
      <c r="X798" s="21"/>
      <c r="BX798"/>
    </row>
    <row r="799" spans="24:76">
      <c r="X799" s="21"/>
      <c r="BX799"/>
    </row>
    <row r="800" spans="24:76">
      <c r="X800" s="21"/>
      <c r="BX800"/>
    </row>
    <row r="801" spans="24:76">
      <c r="X801" s="21"/>
      <c r="BX801"/>
    </row>
    <row r="802" spans="24:76">
      <c r="X802" s="21"/>
      <c r="BX802"/>
    </row>
    <row r="803" spans="24:76">
      <c r="X803" s="21"/>
      <c r="BX803"/>
    </row>
    <row r="804" spans="24:76">
      <c r="X804" s="21"/>
      <c r="BX804"/>
    </row>
    <row r="805" spans="24:76">
      <c r="X805" s="21"/>
      <c r="BX805"/>
    </row>
    <row r="806" spans="24:76">
      <c r="X806" s="21"/>
      <c r="BX806"/>
    </row>
    <row r="807" spans="24:76">
      <c r="X807" s="21"/>
      <c r="BX807"/>
    </row>
    <row r="808" spans="24:76">
      <c r="X808" s="21"/>
      <c r="BX808"/>
    </row>
    <row r="809" spans="24:76">
      <c r="X809" s="21"/>
      <c r="BX809"/>
    </row>
    <row r="810" spans="24:76">
      <c r="X810" s="21"/>
      <c r="BX810"/>
    </row>
    <row r="811" spans="24:76">
      <c r="X811" s="21"/>
      <c r="BX811"/>
    </row>
    <row r="812" spans="24:76">
      <c r="X812" s="21"/>
      <c r="BX812"/>
    </row>
    <row r="813" spans="24:76">
      <c r="X813" s="21"/>
      <c r="BX813"/>
    </row>
    <row r="814" spans="24:76">
      <c r="X814" s="21"/>
      <c r="BX814"/>
    </row>
    <row r="815" spans="24:76">
      <c r="X815" s="21"/>
      <c r="BX815"/>
    </row>
    <row r="816" spans="24:76">
      <c r="X816" s="21"/>
      <c r="BX816"/>
    </row>
    <row r="817" spans="24:76">
      <c r="X817" s="21"/>
      <c r="BX817"/>
    </row>
    <row r="818" spans="24:76">
      <c r="X818" s="21"/>
      <c r="BX818"/>
    </row>
    <row r="819" spans="24:76">
      <c r="X819" s="21"/>
      <c r="BX819"/>
    </row>
    <row r="820" spans="24:76">
      <c r="X820" s="21"/>
      <c r="BX820"/>
    </row>
    <row r="821" spans="24:76">
      <c r="X821" s="21"/>
      <c r="BX821"/>
    </row>
    <row r="822" spans="24:76">
      <c r="X822" s="21"/>
      <c r="BX822"/>
    </row>
    <row r="823" spans="24:76">
      <c r="X823" s="21"/>
      <c r="BX823"/>
    </row>
    <row r="824" spans="24:76">
      <c r="X824" s="21"/>
      <c r="BX824"/>
    </row>
    <row r="825" spans="24:76">
      <c r="X825" s="21"/>
      <c r="BX825"/>
    </row>
    <row r="826" spans="24:76">
      <c r="X826" s="21"/>
      <c r="BX826"/>
    </row>
    <row r="827" spans="24:76">
      <c r="X827" s="21"/>
      <c r="BX827"/>
    </row>
    <row r="828" spans="24:76">
      <c r="X828" s="21"/>
      <c r="BX828"/>
    </row>
    <row r="829" spans="24:76">
      <c r="X829" s="21"/>
      <c r="BX829"/>
    </row>
    <row r="830" spans="24:76">
      <c r="X830" s="21"/>
      <c r="BX830"/>
    </row>
    <row r="831" spans="24:76">
      <c r="X831" s="21"/>
      <c r="BX831"/>
    </row>
    <row r="832" spans="24:76">
      <c r="X832" s="21"/>
      <c r="BX832"/>
    </row>
    <row r="833" spans="24:76">
      <c r="X833" s="21"/>
      <c r="BX833"/>
    </row>
    <row r="834" spans="24:76">
      <c r="X834" s="21"/>
      <c r="BX834"/>
    </row>
    <row r="835" spans="24:76">
      <c r="X835" s="21"/>
      <c r="BX835"/>
    </row>
    <row r="836" spans="24:76">
      <c r="X836" s="21"/>
      <c r="BX836"/>
    </row>
    <row r="837" spans="24:76">
      <c r="X837" s="21"/>
      <c r="BX837"/>
    </row>
    <row r="838" spans="24:76">
      <c r="X838" s="21"/>
      <c r="BX838"/>
    </row>
    <row r="839" spans="24:76">
      <c r="X839" s="21"/>
      <c r="BX839"/>
    </row>
    <row r="840" spans="24:76">
      <c r="X840" s="21"/>
      <c r="BX840"/>
    </row>
    <row r="841" spans="24:76">
      <c r="X841" s="21"/>
      <c r="BX841"/>
    </row>
    <row r="842" spans="24:76">
      <c r="X842" s="21"/>
      <c r="BX842"/>
    </row>
    <row r="843" spans="24:76">
      <c r="X843" s="21"/>
      <c r="BX843"/>
    </row>
    <row r="844" spans="24:76">
      <c r="X844" s="21"/>
      <c r="BX844"/>
    </row>
    <row r="845" spans="24:76">
      <c r="X845" s="21"/>
      <c r="BX845"/>
    </row>
    <row r="846" spans="24:76">
      <c r="X846" s="21"/>
      <c r="BX846"/>
    </row>
    <row r="847" spans="24:76">
      <c r="X847" s="21"/>
      <c r="BX847"/>
    </row>
    <row r="848" spans="24:76">
      <c r="X848" s="21"/>
      <c r="BX848"/>
    </row>
    <row r="849" spans="24:76">
      <c r="X849" s="21"/>
      <c r="BX849"/>
    </row>
    <row r="850" spans="24:76">
      <c r="X850" s="21"/>
      <c r="BX850"/>
    </row>
    <row r="851" spans="24:76">
      <c r="X851" s="21"/>
      <c r="BX851"/>
    </row>
    <row r="852" spans="24:76">
      <c r="X852" s="21"/>
      <c r="BX852"/>
    </row>
    <row r="853" spans="24:76">
      <c r="X853" s="21"/>
      <c r="BX853"/>
    </row>
    <row r="854" spans="24:76">
      <c r="X854" s="21"/>
      <c r="BX854"/>
    </row>
    <row r="855" spans="24:76">
      <c r="X855" s="21"/>
      <c r="BX855"/>
    </row>
    <row r="856" spans="24:76">
      <c r="X856" s="21"/>
      <c r="BX856"/>
    </row>
    <row r="857" spans="24:76">
      <c r="X857" s="21"/>
      <c r="BX857"/>
    </row>
    <row r="858" spans="24:76">
      <c r="X858" s="21"/>
      <c r="BX858"/>
    </row>
    <row r="859" spans="24:76">
      <c r="X859" s="21"/>
      <c r="BX859"/>
    </row>
    <row r="860" spans="24:76">
      <c r="X860" s="21"/>
      <c r="BX860"/>
    </row>
    <row r="861" spans="24:76">
      <c r="X861" s="21"/>
      <c r="BX861"/>
    </row>
    <row r="862" spans="24:76">
      <c r="X862" s="21"/>
      <c r="BX862"/>
    </row>
    <row r="863" spans="24:76">
      <c r="X863" s="21"/>
      <c r="BX863"/>
    </row>
    <row r="864" spans="24:76">
      <c r="X864" s="21"/>
      <c r="BX864"/>
    </row>
    <row r="865" spans="24:76">
      <c r="X865" s="21"/>
      <c r="BX865"/>
    </row>
    <row r="866" spans="24:76">
      <c r="X866" s="21"/>
      <c r="BX866"/>
    </row>
    <row r="867" spans="24:76">
      <c r="X867" s="21"/>
      <c r="BX867"/>
    </row>
    <row r="868" spans="24:76">
      <c r="X868" s="21"/>
      <c r="BX868"/>
    </row>
    <row r="869" spans="24:76">
      <c r="X869" s="21"/>
      <c r="BX869"/>
    </row>
    <row r="870" spans="24:76">
      <c r="X870" s="21"/>
      <c r="BX870"/>
    </row>
    <row r="871" spans="24:76">
      <c r="X871" s="21"/>
      <c r="BX871"/>
    </row>
    <row r="872" spans="24:76">
      <c r="X872" s="21"/>
      <c r="BX872"/>
    </row>
    <row r="873" spans="24:76">
      <c r="X873" s="21"/>
      <c r="BX873"/>
    </row>
    <row r="874" spans="24:76">
      <c r="X874" s="21"/>
      <c r="BX874"/>
    </row>
    <row r="875" spans="24:76">
      <c r="X875" s="21"/>
      <c r="BX875"/>
    </row>
    <row r="876" spans="24:76">
      <c r="X876" s="21"/>
      <c r="BX876"/>
    </row>
    <row r="877" spans="24:76">
      <c r="X877" s="21"/>
      <c r="BX877"/>
    </row>
    <row r="878" spans="24:76">
      <c r="X878" s="21"/>
      <c r="BX878"/>
    </row>
    <row r="879" spans="24:76">
      <c r="X879" s="21"/>
      <c r="BX879"/>
    </row>
    <row r="880" spans="24:76">
      <c r="X880" s="21"/>
      <c r="BX880"/>
    </row>
    <row r="881" spans="24:76">
      <c r="X881" s="21"/>
      <c r="BX881"/>
    </row>
    <row r="882" spans="24:76">
      <c r="X882" s="21"/>
      <c r="BX882"/>
    </row>
    <row r="883" spans="24:76">
      <c r="X883" s="21"/>
      <c r="BX883"/>
    </row>
    <row r="884" spans="24:76">
      <c r="X884" s="21"/>
      <c r="BX884"/>
    </row>
    <row r="885" spans="24:76">
      <c r="X885" s="21"/>
      <c r="BX885"/>
    </row>
    <row r="886" spans="24:76">
      <c r="X886" s="21"/>
      <c r="BX886"/>
    </row>
    <row r="887" spans="24:76">
      <c r="X887" s="21"/>
      <c r="BX887"/>
    </row>
    <row r="888" spans="24:76">
      <c r="X888" s="21"/>
      <c r="BX888"/>
    </row>
    <row r="889" spans="24:76">
      <c r="X889" s="21"/>
      <c r="BX889"/>
    </row>
    <row r="890" spans="24:76">
      <c r="X890" s="21"/>
      <c r="BX890"/>
    </row>
    <row r="891" spans="24:76">
      <c r="X891" s="21"/>
      <c r="BX891"/>
    </row>
    <row r="892" spans="24:76">
      <c r="X892" s="21"/>
      <c r="BX892"/>
    </row>
    <row r="893" spans="24:76">
      <c r="X893" s="21"/>
      <c r="BX893"/>
    </row>
    <row r="894" spans="24:76">
      <c r="X894" s="21"/>
      <c r="BX894"/>
    </row>
    <row r="895" spans="24:76">
      <c r="X895" s="21"/>
      <c r="BX895"/>
    </row>
    <row r="896" spans="24:76">
      <c r="X896" s="21"/>
      <c r="BX896"/>
    </row>
    <row r="897" spans="24:76">
      <c r="X897" s="21"/>
      <c r="BX897"/>
    </row>
    <row r="898" spans="24:76">
      <c r="X898" s="21"/>
      <c r="BX898"/>
    </row>
    <row r="899" spans="24:76">
      <c r="X899" s="21"/>
      <c r="BX899"/>
    </row>
    <row r="900" spans="24:76">
      <c r="X900" s="21"/>
      <c r="BX900"/>
    </row>
  </sheetData>
  <sheetProtection sheet="1" objects="1" scenarios="1"/>
  <mergeCells count="12">
    <mergeCell ref="B2:B3"/>
    <mergeCell ref="BB3:BC4"/>
    <mergeCell ref="BD3:BD4"/>
    <mergeCell ref="B14:C15"/>
    <mergeCell ref="Z15:Z16"/>
    <mergeCell ref="AA15:AA16"/>
    <mergeCell ref="Z18:Z19"/>
    <mergeCell ref="AA18:AA19"/>
    <mergeCell ref="Z21:Z22"/>
    <mergeCell ref="AA21:AA22"/>
    <mergeCell ref="Z24:Z25"/>
    <mergeCell ref="AA24:AA25"/>
  </mergeCells>
  <pageMargins left="0.7" right="0.7" top="0.75" bottom="0.75" header="0.3" footer="0.3"/>
  <pageSetup orientation="portrait" r:id="rId1"/>
  <drawing r:id="rId2"/>
  <tableParts count="8">
    <tablePart r:id="rId3"/>
    <tablePart r:id="rId4"/>
    <tablePart r:id="rId5"/>
    <tablePart r:id="rId6"/>
    <tablePart r:id="rId7"/>
    <tablePart r:id="rId8"/>
    <tablePart r:id="rId9"/>
    <tablePart r:id="rId10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10"/>
  <dimension ref="A1:R78"/>
  <sheetViews>
    <sheetView zoomScale="80" zoomScaleNormal="80" workbookViewId="0">
      <selection sqref="A1:A2"/>
    </sheetView>
  </sheetViews>
  <sheetFormatPr defaultColWidth="8.77734375" defaultRowHeight="14.4"/>
  <cols>
    <col min="1" max="1" width="28.44140625" customWidth="1"/>
    <col min="3" max="3" width="25.33203125" customWidth="1"/>
    <col min="12" max="12" width="25.33203125" customWidth="1"/>
  </cols>
  <sheetData>
    <row r="1" spans="1:18">
      <c r="A1" s="171" t="s">
        <v>59</v>
      </c>
      <c r="B1" s="83" t="s">
        <v>146</v>
      </c>
      <c r="C1" s="83" t="s">
        <v>147</v>
      </c>
      <c r="D1" s="83">
        <v>2021</v>
      </c>
      <c r="E1" s="83">
        <v>2022</v>
      </c>
      <c r="F1" s="83">
        <v>2023</v>
      </c>
      <c r="G1" s="83">
        <v>2024</v>
      </c>
      <c r="H1" s="83">
        <v>2025</v>
      </c>
      <c r="I1" s="83">
        <v>2026</v>
      </c>
      <c r="K1" s="83" t="s">
        <v>146</v>
      </c>
      <c r="L1" s="83" t="s">
        <v>147</v>
      </c>
      <c r="M1" s="83">
        <v>2021</v>
      </c>
      <c r="N1" s="83">
        <v>2022</v>
      </c>
      <c r="O1" s="83">
        <v>2023</v>
      </c>
      <c r="P1" s="83">
        <v>2024</v>
      </c>
      <c r="Q1" s="83">
        <v>2025</v>
      </c>
      <c r="R1" s="83">
        <v>2026</v>
      </c>
    </row>
    <row r="2" spans="1:18">
      <c r="A2" s="171" t="s">
        <v>71</v>
      </c>
      <c r="B2" s="84" t="s">
        <v>0</v>
      </c>
      <c r="C2" s="84" t="s">
        <v>131</v>
      </c>
      <c r="D2" s="85">
        <v>1926.2</v>
      </c>
      <c r="E2" s="85">
        <v>1946.83</v>
      </c>
      <c r="F2" s="85">
        <v>2114.1000000000004</v>
      </c>
      <c r="G2" s="85">
        <v>2049.65</v>
      </c>
      <c r="H2" s="85">
        <v>1694.0700000000002</v>
      </c>
      <c r="I2" s="85">
        <v>478.01</v>
      </c>
      <c r="K2" s="84" t="s">
        <v>0</v>
      </c>
      <c r="L2" s="84" t="s">
        <v>131</v>
      </c>
      <c r="M2" s="85">
        <v>361.44</v>
      </c>
      <c r="N2" s="85">
        <v>457.5200000000001</v>
      </c>
      <c r="O2" s="85">
        <v>562.74</v>
      </c>
      <c r="P2" s="85">
        <v>573.28</v>
      </c>
      <c r="Q2" s="85">
        <v>420.5</v>
      </c>
      <c r="R2" s="85">
        <v>478.01</v>
      </c>
    </row>
    <row r="3" spans="1:18">
      <c r="A3" s="132"/>
      <c r="B3" s="84" t="s">
        <v>1</v>
      </c>
      <c r="C3" s="84" t="s">
        <v>130</v>
      </c>
      <c r="D3" s="85">
        <v>3371.1099999999997</v>
      </c>
      <c r="E3" s="85">
        <v>3490.9100000000003</v>
      </c>
      <c r="F3" s="85">
        <v>3560.7099999999996</v>
      </c>
      <c r="G3" s="85">
        <v>3098.33</v>
      </c>
      <c r="H3" s="85">
        <v>2115.65</v>
      </c>
      <c r="I3" s="85">
        <v>391.07</v>
      </c>
      <c r="K3" s="84" t="s">
        <v>1</v>
      </c>
      <c r="L3" s="84" t="s">
        <v>130</v>
      </c>
      <c r="M3" s="85">
        <v>716.91000000000008</v>
      </c>
      <c r="N3" s="85">
        <v>877.85</v>
      </c>
      <c r="O3" s="85">
        <v>1025.78</v>
      </c>
      <c r="P3" s="85">
        <v>867.1400000000001</v>
      </c>
      <c r="Q3" s="85">
        <v>490.20000000000005</v>
      </c>
      <c r="R3" s="85">
        <v>391.07</v>
      </c>
    </row>
    <row r="4" spans="1:18" ht="15" customHeight="1">
      <c r="A4" s="150" t="s">
        <v>101</v>
      </c>
      <c r="B4" s="84" t="s">
        <v>2</v>
      </c>
      <c r="C4" s="84" t="s">
        <v>132</v>
      </c>
      <c r="D4" s="85">
        <v>1563.7500000000002</v>
      </c>
      <c r="E4" s="85">
        <v>1674.3000000000004</v>
      </c>
      <c r="F4" s="85">
        <v>1604.2400000000002</v>
      </c>
      <c r="G4" s="85">
        <v>1595.62</v>
      </c>
      <c r="H4" s="85">
        <v>1461.21</v>
      </c>
      <c r="I4" s="85">
        <v>336.53999999999996</v>
      </c>
      <c r="K4" s="84" t="s">
        <v>2</v>
      </c>
      <c r="L4" s="84" t="s">
        <v>132</v>
      </c>
      <c r="M4" s="85">
        <v>365.65</v>
      </c>
      <c r="N4" s="85">
        <v>461.06</v>
      </c>
      <c r="O4" s="85">
        <v>458.28000000000003</v>
      </c>
      <c r="P4" s="85">
        <v>476.02</v>
      </c>
      <c r="Q4" s="85">
        <v>420.86</v>
      </c>
      <c r="R4" s="85">
        <v>336.53999999999996</v>
      </c>
    </row>
    <row r="5" spans="1:18" ht="15" customHeight="1">
      <c r="A5" s="150" t="s">
        <v>108</v>
      </c>
      <c r="B5" s="84" t="s">
        <v>3</v>
      </c>
      <c r="C5" s="84" t="s">
        <v>133</v>
      </c>
      <c r="D5" s="85">
        <v>4246.5300000000007</v>
      </c>
      <c r="E5" s="85">
        <v>4428.8500000000004</v>
      </c>
      <c r="F5" s="85">
        <v>3813.41</v>
      </c>
      <c r="G5" s="85">
        <v>3722.86</v>
      </c>
      <c r="H5" s="85">
        <v>2970.6300000000006</v>
      </c>
      <c r="I5" s="85">
        <v>785.20999999999992</v>
      </c>
      <c r="K5" s="84" t="s">
        <v>3</v>
      </c>
      <c r="L5" s="84" t="s">
        <v>133</v>
      </c>
      <c r="M5" s="85">
        <v>1647.1499999999999</v>
      </c>
      <c r="N5" s="85">
        <v>1791.8500000000001</v>
      </c>
      <c r="O5" s="85">
        <v>1572.24</v>
      </c>
      <c r="P5" s="85">
        <v>1501.75</v>
      </c>
      <c r="Q5" s="85">
        <v>1532.22</v>
      </c>
      <c r="R5" s="85">
        <v>785.20999999999992</v>
      </c>
    </row>
    <row r="6" spans="1:18">
      <c r="A6" s="132"/>
      <c r="B6" s="84" t="s">
        <v>4</v>
      </c>
      <c r="C6" s="84" t="s">
        <v>134</v>
      </c>
      <c r="D6" s="85">
        <v>4844.6099999999997</v>
      </c>
      <c r="E6" s="85">
        <v>4158.6099999999988</v>
      </c>
      <c r="F6" s="85">
        <v>4508.3100000000004</v>
      </c>
      <c r="G6" s="85">
        <v>4558.43</v>
      </c>
      <c r="H6" s="85">
        <v>4046.0600000000004</v>
      </c>
      <c r="I6" s="85">
        <v>2149.1799999999998</v>
      </c>
      <c r="K6" s="84" t="s">
        <v>4</v>
      </c>
      <c r="L6" s="84" t="s">
        <v>134</v>
      </c>
      <c r="M6" s="85">
        <v>2728.52</v>
      </c>
      <c r="N6" s="85">
        <v>2034.4299999999996</v>
      </c>
      <c r="O6" s="85">
        <v>2298.2599999999998</v>
      </c>
      <c r="P6" s="85">
        <v>2381.0800000000004</v>
      </c>
      <c r="Q6" s="85">
        <v>2403.46</v>
      </c>
      <c r="R6" s="85">
        <v>2149.1799999999998</v>
      </c>
    </row>
    <row r="7" spans="1:18">
      <c r="A7" s="132"/>
      <c r="B7" s="84" t="s">
        <v>5</v>
      </c>
      <c r="C7" s="84" t="s">
        <v>135</v>
      </c>
      <c r="D7" s="85">
        <v>1634.38</v>
      </c>
      <c r="E7" s="85">
        <v>1591.6599999999999</v>
      </c>
      <c r="F7" s="85">
        <v>1641.45</v>
      </c>
      <c r="G7" s="85">
        <v>1298.79</v>
      </c>
      <c r="H7" s="85">
        <v>1271.76</v>
      </c>
      <c r="I7" s="85">
        <v>512.64</v>
      </c>
      <c r="K7" s="84" t="s">
        <v>5</v>
      </c>
      <c r="L7" s="84" t="s">
        <v>135</v>
      </c>
      <c r="M7" s="85">
        <v>780.04</v>
      </c>
      <c r="N7" s="85">
        <v>623</v>
      </c>
      <c r="O7" s="85">
        <v>819.6099999999999</v>
      </c>
      <c r="P7" s="85">
        <v>480.66</v>
      </c>
      <c r="Q7" s="85">
        <v>542.49</v>
      </c>
      <c r="R7" s="85">
        <v>512.64</v>
      </c>
    </row>
    <row r="8" spans="1:18">
      <c r="A8" s="132"/>
      <c r="B8" s="84" t="s">
        <v>6</v>
      </c>
      <c r="C8" s="84" t="s">
        <v>136</v>
      </c>
      <c r="D8" s="85">
        <v>1285.4700000000003</v>
      </c>
      <c r="E8" s="85">
        <v>1239.48</v>
      </c>
      <c r="F8" s="85">
        <v>1367.5999999999997</v>
      </c>
      <c r="G8" s="85">
        <v>1317.73</v>
      </c>
      <c r="H8" s="85">
        <v>1538.3400000000004</v>
      </c>
      <c r="I8" s="85">
        <v>359.49</v>
      </c>
      <c r="K8" s="84" t="s">
        <v>6</v>
      </c>
      <c r="L8" s="84" t="s">
        <v>136</v>
      </c>
      <c r="M8" s="85">
        <v>424.87999999999994</v>
      </c>
      <c r="N8" s="85">
        <v>326.16000000000008</v>
      </c>
      <c r="O8" s="85">
        <v>369.74</v>
      </c>
      <c r="P8" s="85">
        <v>350.85</v>
      </c>
      <c r="Q8" s="85">
        <v>351.07</v>
      </c>
      <c r="R8" s="85">
        <v>359.49</v>
      </c>
    </row>
    <row r="9" spans="1:18">
      <c r="A9" s="132"/>
      <c r="B9" s="84" t="s">
        <v>7</v>
      </c>
      <c r="C9" s="84" t="s">
        <v>137</v>
      </c>
      <c r="D9" s="85">
        <v>1312.1699999999998</v>
      </c>
      <c r="E9" s="85">
        <v>1112.73</v>
      </c>
      <c r="F9" s="85">
        <v>1217.33</v>
      </c>
      <c r="G9" s="85">
        <v>1186.3700000000003</v>
      </c>
      <c r="H9" s="85">
        <v>1043.07</v>
      </c>
      <c r="I9" s="85">
        <v>399.17</v>
      </c>
      <c r="K9" s="84" t="s">
        <v>7</v>
      </c>
      <c r="L9" s="84" t="s">
        <v>137</v>
      </c>
      <c r="M9" s="85">
        <v>286.2</v>
      </c>
      <c r="N9" s="85">
        <v>281.67</v>
      </c>
      <c r="O9" s="85">
        <v>333.91</v>
      </c>
      <c r="P9" s="85">
        <v>426.44999999999993</v>
      </c>
      <c r="Q9" s="85">
        <v>386.32000000000005</v>
      </c>
      <c r="R9" s="85">
        <v>399.17</v>
      </c>
    </row>
    <row r="10" spans="1:18">
      <c r="A10" s="132"/>
      <c r="B10" s="84" t="s">
        <v>8</v>
      </c>
      <c r="C10" s="84" t="s">
        <v>138</v>
      </c>
      <c r="D10" s="85">
        <v>1121.0999999999999</v>
      </c>
      <c r="E10" s="85">
        <v>866.24999999999989</v>
      </c>
      <c r="F10" s="85">
        <v>1004.3599999999999</v>
      </c>
      <c r="G10" s="85">
        <v>1134.5900000000001</v>
      </c>
      <c r="H10" s="85">
        <v>1058.1899999999996</v>
      </c>
      <c r="I10" s="85">
        <v>156.83999999999997</v>
      </c>
      <c r="K10" s="84" t="s">
        <v>8</v>
      </c>
      <c r="L10" s="84" t="s">
        <v>138</v>
      </c>
      <c r="M10" s="85">
        <v>301.94</v>
      </c>
      <c r="N10" s="85">
        <v>193.9</v>
      </c>
      <c r="O10" s="85">
        <v>359.71000000000004</v>
      </c>
      <c r="P10" s="85">
        <v>407.66000000000008</v>
      </c>
      <c r="Q10" s="85">
        <v>351.39999999999992</v>
      </c>
      <c r="R10" s="85">
        <v>156.83999999999997</v>
      </c>
    </row>
    <row r="11" spans="1:18">
      <c r="A11" s="132"/>
      <c r="B11" s="84" t="s">
        <v>9</v>
      </c>
      <c r="C11" s="84" t="s">
        <v>139</v>
      </c>
      <c r="D11" s="85">
        <v>757.72</v>
      </c>
      <c r="E11" s="85">
        <v>747.02999999999986</v>
      </c>
      <c r="F11" s="85">
        <v>695.06000000000006</v>
      </c>
      <c r="G11" s="85">
        <v>939.63</v>
      </c>
      <c r="H11" s="85">
        <v>759.78</v>
      </c>
      <c r="I11" s="85">
        <v>182.35999999999999</v>
      </c>
      <c r="K11" s="84" t="s">
        <v>9</v>
      </c>
      <c r="L11" s="84" t="s">
        <v>139</v>
      </c>
      <c r="M11" s="85">
        <v>123.83000000000001</v>
      </c>
      <c r="N11" s="85">
        <v>119.1</v>
      </c>
      <c r="O11" s="85">
        <v>172.42999999999998</v>
      </c>
      <c r="P11" s="85">
        <v>267.10000000000002</v>
      </c>
      <c r="Q11" s="85">
        <v>161.91</v>
      </c>
      <c r="R11" s="85">
        <v>182.35999999999999</v>
      </c>
    </row>
    <row r="12" spans="1:18">
      <c r="A12" s="132"/>
      <c r="B12" s="84" t="s">
        <v>10</v>
      </c>
      <c r="C12" s="84" t="s">
        <v>140</v>
      </c>
      <c r="D12" s="85">
        <v>2089.9199999999996</v>
      </c>
      <c r="E12" s="85">
        <v>2384.5000000000005</v>
      </c>
      <c r="F12" s="85">
        <v>2717.72</v>
      </c>
      <c r="G12" s="85">
        <v>2522.8600000000006</v>
      </c>
      <c r="H12" s="85">
        <v>1953.43</v>
      </c>
      <c r="I12" s="85">
        <v>320.27</v>
      </c>
      <c r="K12" s="84" t="s">
        <v>10</v>
      </c>
      <c r="L12" s="84" t="s">
        <v>140</v>
      </c>
      <c r="M12" s="85">
        <v>421.93</v>
      </c>
      <c r="N12" s="85">
        <v>636.18000000000006</v>
      </c>
      <c r="O12" s="85">
        <v>754.13000000000011</v>
      </c>
      <c r="P12" s="85">
        <v>777.23</v>
      </c>
      <c r="Q12" s="85">
        <v>498.57000000000005</v>
      </c>
      <c r="R12" s="85">
        <v>320.27</v>
      </c>
    </row>
    <row r="13" spans="1:18">
      <c r="A13" s="132"/>
      <c r="B13" s="84" t="s">
        <v>11</v>
      </c>
      <c r="C13" s="84" t="s">
        <v>141</v>
      </c>
      <c r="D13" s="85">
        <v>2998.2599999999998</v>
      </c>
      <c r="E13" s="85">
        <v>2295.1799999999998</v>
      </c>
      <c r="F13" s="85">
        <v>2191.87</v>
      </c>
      <c r="G13" s="85">
        <v>1720.86</v>
      </c>
      <c r="H13" s="85">
        <v>1578.81</v>
      </c>
      <c r="I13" s="85">
        <v>610.16000000000008</v>
      </c>
      <c r="K13" s="84" t="s">
        <v>11</v>
      </c>
      <c r="L13" s="84" t="s">
        <v>141</v>
      </c>
      <c r="M13" s="85">
        <v>1306.4000000000001</v>
      </c>
      <c r="N13" s="85">
        <v>966.04000000000008</v>
      </c>
      <c r="O13" s="85">
        <v>804.53</v>
      </c>
      <c r="P13" s="85">
        <v>750.19</v>
      </c>
      <c r="Q13" s="85">
        <v>787</v>
      </c>
      <c r="R13" s="85">
        <v>610.16000000000008</v>
      </c>
    </row>
    <row r="14" spans="1:18">
      <c r="A14" s="132"/>
      <c r="B14" s="84" t="s">
        <v>12</v>
      </c>
      <c r="C14" s="84" t="s">
        <v>142</v>
      </c>
      <c r="D14" s="85">
        <v>768.85</v>
      </c>
      <c r="E14" s="85">
        <v>1365.99</v>
      </c>
      <c r="F14" s="85">
        <v>1387.63</v>
      </c>
      <c r="G14" s="85">
        <v>1490.27</v>
      </c>
      <c r="H14" s="85">
        <v>968.28000000000009</v>
      </c>
      <c r="I14" s="85">
        <v>369.76</v>
      </c>
      <c r="K14" s="84" t="s">
        <v>12</v>
      </c>
      <c r="L14" s="84" t="s">
        <v>142</v>
      </c>
      <c r="M14" s="85">
        <v>419.85</v>
      </c>
      <c r="N14" s="85">
        <v>548.73</v>
      </c>
      <c r="O14" s="85">
        <v>712.07</v>
      </c>
      <c r="P14" s="85">
        <v>802</v>
      </c>
      <c r="Q14" s="85">
        <v>496.09999999999997</v>
      </c>
      <c r="R14" s="85">
        <v>369.76</v>
      </c>
    </row>
    <row r="15" spans="1:18">
      <c r="A15" s="132"/>
      <c r="B15" s="84" t="s">
        <v>13</v>
      </c>
      <c r="C15" s="84" t="s">
        <v>143</v>
      </c>
      <c r="D15" s="85">
        <v>1496.4</v>
      </c>
      <c r="E15" s="85">
        <v>1740.56</v>
      </c>
      <c r="F15" s="85">
        <v>1961.5299999999997</v>
      </c>
      <c r="G15" s="85">
        <v>1771.3400000000001</v>
      </c>
      <c r="H15" s="85">
        <v>1725.39</v>
      </c>
      <c r="I15" s="85">
        <v>659.44999999999993</v>
      </c>
      <c r="K15" s="84" t="s">
        <v>13</v>
      </c>
      <c r="L15" s="84" t="s">
        <v>143</v>
      </c>
      <c r="M15" s="85">
        <v>537.47</v>
      </c>
      <c r="N15" s="85">
        <v>773.36000000000013</v>
      </c>
      <c r="O15" s="85">
        <v>887.53</v>
      </c>
      <c r="P15" s="85">
        <v>796.25</v>
      </c>
      <c r="Q15" s="85">
        <v>808.78</v>
      </c>
      <c r="R15" s="85">
        <v>659.44999999999993</v>
      </c>
    </row>
    <row r="16" spans="1:18">
      <c r="A16" s="132"/>
      <c r="B16" s="84" t="s">
        <v>14</v>
      </c>
      <c r="C16" s="84" t="s">
        <v>144</v>
      </c>
      <c r="D16" s="85">
        <v>87</v>
      </c>
      <c r="E16" s="85">
        <v>161</v>
      </c>
      <c r="F16" s="85">
        <v>145.5</v>
      </c>
      <c r="G16" s="85">
        <v>73</v>
      </c>
      <c r="H16" s="85">
        <v>91.5</v>
      </c>
      <c r="I16" s="85">
        <v>21.5</v>
      </c>
      <c r="K16" s="84" t="s">
        <v>14</v>
      </c>
      <c r="L16" s="84" t="s">
        <v>144</v>
      </c>
      <c r="M16" s="85">
        <v>0</v>
      </c>
      <c r="N16" s="85">
        <v>102</v>
      </c>
      <c r="O16" s="85">
        <v>77.5</v>
      </c>
      <c r="P16" s="85">
        <v>44</v>
      </c>
      <c r="Q16" s="85">
        <v>65.5</v>
      </c>
      <c r="R16" s="85">
        <v>21.5</v>
      </c>
    </row>
    <row r="17" spans="1:18">
      <c r="A17" s="132"/>
      <c r="B17" s="84" t="s">
        <v>15</v>
      </c>
      <c r="C17" s="84" t="s">
        <v>145</v>
      </c>
      <c r="D17" s="85">
        <v>111.32</v>
      </c>
      <c r="E17" s="85">
        <v>223.15</v>
      </c>
      <c r="F17" s="85">
        <v>169.63</v>
      </c>
      <c r="G17" s="85">
        <v>105.94999999999999</v>
      </c>
      <c r="H17" s="85">
        <v>177.37</v>
      </c>
      <c r="I17" s="85">
        <v>21.25</v>
      </c>
      <c r="K17" s="84" t="s">
        <v>15</v>
      </c>
      <c r="L17" s="84" t="s">
        <v>145</v>
      </c>
      <c r="M17" s="85">
        <v>45.28</v>
      </c>
      <c r="N17" s="85">
        <v>131.01</v>
      </c>
      <c r="O17" s="85">
        <v>77.460000000000008</v>
      </c>
      <c r="P17" s="85">
        <v>56.230000000000004</v>
      </c>
      <c r="Q17" s="85">
        <v>88.43</v>
      </c>
      <c r="R17" s="85">
        <v>21.25</v>
      </c>
    </row>
    <row r="18" spans="1:18">
      <c r="A18" s="132"/>
      <c r="B18" s="84"/>
      <c r="C18" s="86"/>
      <c r="D18" s="70">
        <v>29614.789999999997</v>
      </c>
      <c r="E18" s="70">
        <v>29427.03</v>
      </c>
      <c r="F18" s="70">
        <v>30100.450000000004</v>
      </c>
      <c r="G18" s="70">
        <v>28586.280000000002</v>
      </c>
      <c r="H18" s="70">
        <v>24453.54</v>
      </c>
      <c r="I18" s="70">
        <v>7752.9000000000005</v>
      </c>
      <c r="K18" s="84"/>
      <c r="L18" s="86"/>
      <c r="M18" s="70">
        <v>10467.49</v>
      </c>
      <c r="N18" s="70">
        <v>10323.86</v>
      </c>
      <c r="O18" s="70">
        <v>11285.919999999998</v>
      </c>
      <c r="P18" s="70">
        <v>10957.890000000001</v>
      </c>
      <c r="Q18" s="70">
        <v>9804.81</v>
      </c>
      <c r="R18" s="70">
        <v>7752.9000000000005</v>
      </c>
    </row>
    <row r="21" spans="1:18">
      <c r="A21" s="172" t="s">
        <v>111</v>
      </c>
      <c r="B21" s="23" t="s">
        <v>146</v>
      </c>
      <c r="C21" s="23" t="s">
        <v>147</v>
      </c>
      <c r="D21" s="23">
        <v>2021</v>
      </c>
      <c r="E21" s="23">
        <v>2022</v>
      </c>
      <c r="F21" s="23">
        <v>2023</v>
      </c>
      <c r="G21" s="23">
        <v>2024</v>
      </c>
      <c r="H21" s="23">
        <v>2025</v>
      </c>
      <c r="I21" s="23">
        <v>2026</v>
      </c>
      <c r="K21" s="23" t="s">
        <v>146</v>
      </c>
      <c r="L21" s="23" t="s">
        <v>147</v>
      </c>
      <c r="M21" s="23">
        <v>2021</v>
      </c>
      <c r="N21" s="23">
        <v>2022</v>
      </c>
      <c r="O21" s="23">
        <v>2023</v>
      </c>
      <c r="P21" s="23">
        <v>2024</v>
      </c>
      <c r="Q21" s="23">
        <v>2025</v>
      </c>
      <c r="R21" s="23">
        <v>2026</v>
      </c>
    </row>
    <row r="22" spans="1:18">
      <c r="A22" s="172"/>
      <c r="B22" s="46" t="s">
        <v>0</v>
      </c>
      <c r="C22" s="46" t="s">
        <v>131</v>
      </c>
      <c r="D22" s="28">
        <v>105.08000000000001</v>
      </c>
      <c r="E22" s="28">
        <v>307.08999999999997</v>
      </c>
      <c r="F22" s="28">
        <v>185.65999999999997</v>
      </c>
      <c r="G22" s="28">
        <v>221.24</v>
      </c>
      <c r="H22" s="28">
        <v>16.95</v>
      </c>
      <c r="I22" s="28">
        <v>10.5</v>
      </c>
      <c r="K22" s="46" t="s">
        <v>0</v>
      </c>
      <c r="L22" s="46" t="s">
        <v>131</v>
      </c>
      <c r="M22" s="28">
        <v>26.100000000000005</v>
      </c>
      <c r="N22" s="28">
        <v>138.35</v>
      </c>
      <c r="O22" s="28">
        <v>105.6</v>
      </c>
      <c r="P22" s="28">
        <v>85.24</v>
      </c>
      <c r="Q22" s="28">
        <v>5.75</v>
      </c>
      <c r="R22" s="28">
        <v>10.5</v>
      </c>
    </row>
    <row r="23" spans="1:18" ht="15" customHeight="1">
      <c r="A23" s="148"/>
      <c r="B23" s="46" t="s">
        <v>1</v>
      </c>
      <c r="C23" s="46" t="s">
        <v>130</v>
      </c>
      <c r="D23" s="28">
        <v>434.22000000000014</v>
      </c>
      <c r="E23" s="28">
        <v>677.05</v>
      </c>
      <c r="F23" s="28">
        <v>439.26000000000005</v>
      </c>
      <c r="G23" s="28">
        <v>634.7199999999998</v>
      </c>
      <c r="H23" s="28">
        <v>205.65</v>
      </c>
      <c r="I23" s="28">
        <v>94.399999999999991</v>
      </c>
      <c r="K23" s="46" t="s">
        <v>1</v>
      </c>
      <c r="L23" s="46" t="s">
        <v>130</v>
      </c>
      <c r="M23" s="28">
        <v>226.21999999999997</v>
      </c>
      <c r="N23" s="28">
        <v>322.40000000000003</v>
      </c>
      <c r="O23" s="28">
        <v>166.75</v>
      </c>
      <c r="P23" s="28">
        <v>297.55</v>
      </c>
      <c r="Q23" s="28">
        <v>97</v>
      </c>
      <c r="R23" s="28">
        <v>94.399999999999991</v>
      </c>
    </row>
    <row r="24" spans="1:18" ht="15" customHeight="1">
      <c r="A24" s="149"/>
      <c r="B24" s="46" t="s">
        <v>2</v>
      </c>
      <c r="C24" s="46" t="s">
        <v>132</v>
      </c>
      <c r="D24" s="28">
        <v>0</v>
      </c>
      <c r="E24" s="28">
        <v>0</v>
      </c>
      <c r="F24" s="28">
        <v>0</v>
      </c>
      <c r="G24" s="28">
        <v>0</v>
      </c>
      <c r="H24" s="28">
        <v>72.499999999999986</v>
      </c>
      <c r="I24" s="28">
        <v>38.900000000000006</v>
      </c>
      <c r="K24" s="46" t="s">
        <v>2</v>
      </c>
      <c r="L24" s="46" t="s">
        <v>132</v>
      </c>
      <c r="M24" s="28">
        <v>0</v>
      </c>
      <c r="N24" s="28">
        <v>0</v>
      </c>
      <c r="O24" s="28">
        <v>0</v>
      </c>
      <c r="P24" s="28">
        <v>0</v>
      </c>
      <c r="Q24" s="28">
        <v>53.999999999999993</v>
      </c>
      <c r="R24" s="28">
        <v>38.900000000000006</v>
      </c>
    </row>
    <row r="25" spans="1:18">
      <c r="A25" s="149"/>
      <c r="B25" s="46" t="s">
        <v>3</v>
      </c>
      <c r="C25" s="46" t="s">
        <v>133</v>
      </c>
      <c r="D25" s="28">
        <v>350.06999999999994</v>
      </c>
      <c r="E25" s="28">
        <v>264.11000000000013</v>
      </c>
      <c r="F25" s="28">
        <v>327.60000000000002</v>
      </c>
      <c r="G25" s="28">
        <v>335.43999999999988</v>
      </c>
      <c r="H25" s="28">
        <v>213.21</v>
      </c>
      <c r="I25" s="28">
        <v>85.560000000000016</v>
      </c>
      <c r="K25" s="46" t="s">
        <v>3</v>
      </c>
      <c r="L25" s="46" t="s">
        <v>133</v>
      </c>
      <c r="M25" s="28">
        <v>223.93</v>
      </c>
      <c r="N25" s="28">
        <v>98.820000000000007</v>
      </c>
      <c r="O25" s="28">
        <v>162.03000000000003</v>
      </c>
      <c r="P25" s="28">
        <v>166.84000000000006</v>
      </c>
      <c r="Q25" s="28">
        <v>139.67000000000002</v>
      </c>
      <c r="R25" s="28">
        <v>85.560000000000016</v>
      </c>
    </row>
    <row r="26" spans="1:18">
      <c r="A26" s="148"/>
      <c r="B26" s="46" t="s">
        <v>4</v>
      </c>
      <c r="C26" s="46" t="s">
        <v>134</v>
      </c>
      <c r="D26" s="28">
        <v>1184.7</v>
      </c>
      <c r="E26" s="28">
        <v>1065.2699999999998</v>
      </c>
      <c r="F26" s="28">
        <v>1104.4200000000003</v>
      </c>
      <c r="G26" s="28">
        <v>843.47</v>
      </c>
      <c r="H26" s="28">
        <v>615.85</v>
      </c>
      <c r="I26" s="28">
        <v>349.34000000000003</v>
      </c>
      <c r="K26" s="46" t="s">
        <v>4</v>
      </c>
      <c r="L26" s="46" t="s">
        <v>134</v>
      </c>
      <c r="M26" s="28">
        <v>679.65</v>
      </c>
      <c r="N26" s="28">
        <v>523.79000000000008</v>
      </c>
      <c r="O26" s="28">
        <v>764.33</v>
      </c>
      <c r="P26" s="28">
        <v>468.18</v>
      </c>
      <c r="Q26" s="28">
        <v>418.54000000000008</v>
      </c>
      <c r="R26" s="28">
        <v>349.34000000000003</v>
      </c>
    </row>
    <row r="27" spans="1:18">
      <c r="A27" s="148"/>
      <c r="B27" s="46" t="s">
        <v>5</v>
      </c>
      <c r="C27" s="46" t="s">
        <v>135</v>
      </c>
      <c r="D27" s="28">
        <v>412.72</v>
      </c>
      <c r="E27" s="28">
        <v>242.24</v>
      </c>
      <c r="F27" s="28">
        <v>255.31</v>
      </c>
      <c r="G27" s="28">
        <v>222.21</v>
      </c>
      <c r="H27" s="28">
        <v>210.76000000000002</v>
      </c>
      <c r="I27" s="28">
        <v>65.62</v>
      </c>
      <c r="K27" s="46" t="s">
        <v>5</v>
      </c>
      <c r="L27" s="46" t="s">
        <v>135</v>
      </c>
      <c r="M27" s="28">
        <v>204.81000000000006</v>
      </c>
      <c r="N27" s="28">
        <v>106.36</v>
      </c>
      <c r="O27" s="28">
        <v>150.38</v>
      </c>
      <c r="P27" s="28">
        <v>142.80000000000001</v>
      </c>
      <c r="Q27" s="28">
        <v>134.87</v>
      </c>
      <c r="R27" s="28">
        <v>65.62</v>
      </c>
    </row>
    <row r="28" spans="1:18">
      <c r="A28" s="148"/>
      <c r="B28" s="46" t="s">
        <v>6</v>
      </c>
      <c r="C28" s="46" t="s">
        <v>136</v>
      </c>
      <c r="D28" s="28">
        <v>6.3</v>
      </c>
      <c r="E28" s="28">
        <v>12.3</v>
      </c>
      <c r="F28" s="28">
        <v>12</v>
      </c>
      <c r="G28" s="28">
        <v>23.3</v>
      </c>
      <c r="H28" s="28">
        <v>23.88</v>
      </c>
      <c r="I28" s="28">
        <v>3</v>
      </c>
      <c r="K28" s="46" t="s">
        <v>6</v>
      </c>
      <c r="L28" s="46" t="s">
        <v>136</v>
      </c>
      <c r="M28" s="28">
        <v>2.9</v>
      </c>
      <c r="N28" s="28">
        <v>0</v>
      </c>
      <c r="O28" s="28">
        <v>4</v>
      </c>
      <c r="P28" s="28">
        <v>13</v>
      </c>
      <c r="Q28" s="28">
        <v>9.3000000000000007</v>
      </c>
      <c r="R28" s="28">
        <v>3</v>
      </c>
    </row>
    <row r="29" spans="1:18">
      <c r="A29" s="148"/>
      <c r="B29" s="46" t="s">
        <v>7</v>
      </c>
      <c r="C29" s="46" t="s">
        <v>137</v>
      </c>
      <c r="D29" s="28">
        <v>75.8</v>
      </c>
      <c r="E29" s="28">
        <v>29.7</v>
      </c>
      <c r="F29" s="28">
        <v>46.4</v>
      </c>
      <c r="G29" s="28">
        <v>20.59</v>
      </c>
      <c r="H29" s="28">
        <v>65.55</v>
      </c>
      <c r="I29" s="28">
        <v>26.55</v>
      </c>
      <c r="K29" s="46" t="s">
        <v>7</v>
      </c>
      <c r="L29" s="46" t="s">
        <v>137</v>
      </c>
      <c r="M29" s="28">
        <v>57.4</v>
      </c>
      <c r="N29" s="28">
        <v>17.7</v>
      </c>
      <c r="O29" s="28">
        <v>42.4</v>
      </c>
      <c r="P29" s="28">
        <v>20.59</v>
      </c>
      <c r="Q29" s="28">
        <v>41.65</v>
      </c>
      <c r="R29" s="28">
        <v>26.55</v>
      </c>
    </row>
    <row r="30" spans="1:18">
      <c r="A30" s="148"/>
      <c r="B30" s="46" t="s">
        <v>8</v>
      </c>
      <c r="C30" s="46" t="s">
        <v>138</v>
      </c>
      <c r="D30" s="28">
        <v>646.12</v>
      </c>
      <c r="E30" s="28">
        <v>474.57999999999993</v>
      </c>
      <c r="F30" s="28">
        <v>454.83</v>
      </c>
      <c r="G30" s="28">
        <v>372.71999999999997</v>
      </c>
      <c r="H30" s="28">
        <v>266.13</v>
      </c>
      <c r="I30" s="28">
        <v>112.20000000000002</v>
      </c>
      <c r="K30" s="46" t="s">
        <v>8</v>
      </c>
      <c r="L30" s="46" t="s">
        <v>138</v>
      </c>
      <c r="M30" s="28">
        <v>489.35</v>
      </c>
      <c r="N30" s="28">
        <v>266.27999999999997</v>
      </c>
      <c r="O30" s="28">
        <v>297.89999999999998</v>
      </c>
      <c r="P30" s="28">
        <v>214.74</v>
      </c>
      <c r="Q30" s="28">
        <v>155.58000000000001</v>
      </c>
      <c r="R30" s="28">
        <v>112.20000000000002</v>
      </c>
    </row>
    <row r="31" spans="1:18">
      <c r="A31" s="148"/>
      <c r="B31" s="46" t="s">
        <v>9</v>
      </c>
      <c r="C31" s="46" t="s">
        <v>139</v>
      </c>
      <c r="D31" s="28">
        <v>263.18</v>
      </c>
      <c r="E31" s="28">
        <v>91.37</v>
      </c>
      <c r="F31" s="28">
        <v>203.67999999999998</v>
      </c>
      <c r="G31" s="28">
        <v>251.55999999999992</v>
      </c>
      <c r="H31" s="28">
        <v>213.79</v>
      </c>
      <c r="I31" s="28">
        <v>57.25</v>
      </c>
      <c r="K31" s="46" t="s">
        <v>9</v>
      </c>
      <c r="L31" s="46" t="s">
        <v>139</v>
      </c>
      <c r="M31" s="28">
        <v>195.85</v>
      </c>
      <c r="N31" s="28">
        <v>41.910000000000004</v>
      </c>
      <c r="O31" s="28">
        <v>88.13000000000001</v>
      </c>
      <c r="P31" s="28">
        <v>135.16</v>
      </c>
      <c r="Q31" s="28">
        <v>126.73999999999998</v>
      </c>
      <c r="R31" s="28">
        <v>57.25</v>
      </c>
    </row>
    <row r="32" spans="1:18">
      <c r="A32" s="148"/>
      <c r="B32" s="46" t="s">
        <v>10</v>
      </c>
      <c r="C32" s="46" t="s">
        <v>140</v>
      </c>
      <c r="D32" s="28">
        <v>156.19999999999999</v>
      </c>
      <c r="E32" s="28">
        <v>134.07999999999998</v>
      </c>
      <c r="F32" s="28">
        <v>77.400000000000006</v>
      </c>
      <c r="G32" s="28">
        <v>142.61000000000001</v>
      </c>
      <c r="H32" s="28">
        <v>110.25</v>
      </c>
      <c r="I32" s="28">
        <v>37.21</v>
      </c>
      <c r="K32" s="46" t="s">
        <v>10</v>
      </c>
      <c r="L32" s="46" t="s">
        <v>140</v>
      </c>
      <c r="M32" s="28">
        <v>120.22</v>
      </c>
      <c r="N32" s="28">
        <v>63.42</v>
      </c>
      <c r="O32" s="28">
        <v>48.4</v>
      </c>
      <c r="P32" s="28">
        <v>56.07</v>
      </c>
      <c r="Q32" s="28">
        <v>78.31</v>
      </c>
      <c r="R32" s="28">
        <v>37.21</v>
      </c>
    </row>
    <row r="33" spans="1:18">
      <c r="A33" s="148"/>
      <c r="B33" s="46" t="s">
        <v>11</v>
      </c>
      <c r="C33" s="46" t="s">
        <v>141</v>
      </c>
      <c r="D33" s="28">
        <v>193.16000000000003</v>
      </c>
      <c r="E33" s="28">
        <v>187.46</v>
      </c>
      <c r="F33" s="28">
        <v>201.80999999999995</v>
      </c>
      <c r="G33" s="28">
        <v>283.73999999999995</v>
      </c>
      <c r="H33" s="28">
        <v>314.42000000000007</v>
      </c>
      <c r="I33" s="28">
        <v>35.140000000000008</v>
      </c>
      <c r="K33" s="46" t="s">
        <v>11</v>
      </c>
      <c r="L33" s="46" t="s">
        <v>141</v>
      </c>
      <c r="M33" s="28">
        <v>130.63999999999999</v>
      </c>
      <c r="N33" s="28">
        <v>79.930000000000007</v>
      </c>
      <c r="O33" s="28">
        <v>85.32</v>
      </c>
      <c r="P33" s="28">
        <v>119.26999999999997</v>
      </c>
      <c r="Q33" s="28">
        <v>156.22999999999999</v>
      </c>
      <c r="R33" s="28">
        <v>35.140000000000008</v>
      </c>
    </row>
    <row r="34" spans="1:18">
      <c r="A34" s="148"/>
      <c r="B34" s="46" t="s">
        <v>12</v>
      </c>
      <c r="C34" s="46" t="s">
        <v>142</v>
      </c>
      <c r="D34" s="28">
        <v>0</v>
      </c>
      <c r="E34" s="28">
        <v>0</v>
      </c>
      <c r="F34" s="28">
        <v>0</v>
      </c>
      <c r="G34" s="28">
        <v>0</v>
      </c>
      <c r="H34" s="28">
        <v>0</v>
      </c>
      <c r="I34" s="28">
        <v>0</v>
      </c>
      <c r="K34" s="46" t="s">
        <v>12</v>
      </c>
      <c r="L34" s="46" t="s">
        <v>142</v>
      </c>
      <c r="M34" s="28">
        <v>0</v>
      </c>
      <c r="N34" s="28">
        <v>0</v>
      </c>
      <c r="O34" s="28">
        <v>0</v>
      </c>
      <c r="P34" s="28">
        <v>0</v>
      </c>
      <c r="Q34" s="28">
        <v>0</v>
      </c>
      <c r="R34" s="28">
        <v>0</v>
      </c>
    </row>
    <row r="35" spans="1:18">
      <c r="A35" s="148"/>
      <c r="B35" s="46" t="s">
        <v>13</v>
      </c>
      <c r="C35" s="46" t="s">
        <v>143</v>
      </c>
      <c r="D35" s="28">
        <v>0</v>
      </c>
      <c r="E35" s="28">
        <v>0</v>
      </c>
      <c r="F35" s="28">
        <v>0</v>
      </c>
      <c r="G35" s="28">
        <v>0</v>
      </c>
      <c r="H35" s="28">
        <v>0</v>
      </c>
      <c r="I35" s="28">
        <v>0</v>
      </c>
      <c r="K35" s="46" t="s">
        <v>13</v>
      </c>
      <c r="L35" s="46" t="s">
        <v>143</v>
      </c>
      <c r="M35" s="28">
        <v>0</v>
      </c>
      <c r="N35" s="28">
        <v>0</v>
      </c>
      <c r="O35" s="28">
        <v>0</v>
      </c>
      <c r="P35" s="28">
        <v>0</v>
      </c>
      <c r="Q35" s="28">
        <v>0</v>
      </c>
      <c r="R35" s="28">
        <v>0</v>
      </c>
    </row>
    <row r="36" spans="1:18">
      <c r="A36" s="148"/>
      <c r="B36" s="46" t="s">
        <v>14</v>
      </c>
      <c r="C36" s="46" t="s">
        <v>144</v>
      </c>
      <c r="D36" s="28">
        <v>396.12999999999971</v>
      </c>
      <c r="E36" s="28">
        <v>281.7999999999999</v>
      </c>
      <c r="F36" s="28">
        <v>262.13000000000011</v>
      </c>
      <c r="G36" s="28">
        <v>269.99999999999994</v>
      </c>
      <c r="H36" s="28">
        <v>181.8</v>
      </c>
      <c r="I36" s="28">
        <v>49.9</v>
      </c>
      <c r="K36" s="46" t="s">
        <v>14</v>
      </c>
      <c r="L36" s="46" t="s">
        <v>144</v>
      </c>
      <c r="M36" s="28">
        <v>255.10000000000008</v>
      </c>
      <c r="N36" s="28">
        <v>175.29999999999995</v>
      </c>
      <c r="O36" s="28">
        <v>110.74000000000001</v>
      </c>
      <c r="P36" s="28">
        <v>117.69999999999997</v>
      </c>
      <c r="Q36" s="28">
        <v>129.79999999999998</v>
      </c>
      <c r="R36" s="28">
        <v>49.9</v>
      </c>
    </row>
    <row r="37" spans="1:18">
      <c r="A37" s="148"/>
      <c r="B37" s="46" t="s">
        <v>15</v>
      </c>
      <c r="C37" s="46" t="s">
        <v>145</v>
      </c>
      <c r="D37" s="28">
        <v>0</v>
      </c>
      <c r="E37" s="28">
        <v>0</v>
      </c>
      <c r="F37" s="28">
        <v>0</v>
      </c>
      <c r="G37" s="28">
        <v>0</v>
      </c>
      <c r="H37" s="28">
        <v>0</v>
      </c>
      <c r="I37" s="28">
        <v>0</v>
      </c>
      <c r="K37" s="46" t="s">
        <v>15</v>
      </c>
      <c r="L37" s="46" t="s">
        <v>145</v>
      </c>
      <c r="M37" s="28">
        <v>0</v>
      </c>
      <c r="N37" s="28">
        <v>0</v>
      </c>
      <c r="O37" s="28">
        <v>0</v>
      </c>
      <c r="P37" s="28">
        <v>0</v>
      </c>
      <c r="Q37" s="28">
        <v>0</v>
      </c>
      <c r="R37" s="28">
        <v>0</v>
      </c>
    </row>
    <row r="38" spans="1:18">
      <c r="A38" s="148"/>
      <c r="B38" s="46"/>
      <c r="C38" s="24"/>
      <c r="D38" s="70">
        <v>4223.6799999999994</v>
      </c>
      <c r="E38" s="70">
        <v>3767.0499999999988</v>
      </c>
      <c r="F38" s="70">
        <v>3570.5000000000005</v>
      </c>
      <c r="G38" s="70">
        <v>3621.5999999999995</v>
      </c>
      <c r="H38" s="70">
        <v>2510.7400000000002</v>
      </c>
      <c r="I38" s="70">
        <v>965.57</v>
      </c>
      <c r="K38" s="46"/>
      <c r="L38" s="24"/>
      <c r="M38" s="70">
        <v>2612.1699999999996</v>
      </c>
      <c r="N38" s="70">
        <v>1834.2600000000002</v>
      </c>
      <c r="O38" s="70">
        <v>2025.9800000000005</v>
      </c>
      <c r="P38" s="70">
        <v>1837.14</v>
      </c>
      <c r="Q38" s="70">
        <v>1547.4399999999998</v>
      </c>
      <c r="R38" s="70">
        <v>965.57</v>
      </c>
    </row>
    <row r="41" spans="1:18">
      <c r="A41" s="173" t="s">
        <v>112</v>
      </c>
      <c r="B41" s="2" t="s">
        <v>146</v>
      </c>
      <c r="C41" s="2" t="s">
        <v>147</v>
      </c>
      <c r="D41" s="2">
        <v>2021</v>
      </c>
      <c r="E41" s="2">
        <v>2022</v>
      </c>
      <c r="F41" s="2">
        <v>2023</v>
      </c>
      <c r="G41" s="2">
        <v>2024</v>
      </c>
      <c r="H41" s="2">
        <v>2025</v>
      </c>
      <c r="I41" s="2">
        <v>2026</v>
      </c>
      <c r="K41" s="2" t="s">
        <v>146</v>
      </c>
      <c r="L41" s="2" t="s">
        <v>147</v>
      </c>
      <c r="M41" s="2">
        <v>2021</v>
      </c>
      <c r="N41" s="2">
        <v>2022</v>
      </c>
      <c r="O41" s="2">
        <v>2023</v>
      </c>
      <c r="P41" s="2">
        <v>2024</v>
      </c>
      <c r="Q41" s="2">
        <v>2025</v>
      </c>
      <c r="R41" s="2">
        <v>2026</v>
      </c>
    </row>
    <row r="42" spans="1:18">
      <c r="A42" s="173"/>
      <c r="B42" s="34" t="s">
        <v>0</v>
      </c>
      <c r="C42" s="34" t="s">
        <v>131</v>
      </c>
      <c r="D42" s="29">
        <v>1104.26</v>
      </c>
      <c r="E42" s="29">
        <v>885.94</v>
      </c>
      <c r="F42" s="29">
        <v>1100.82</v>
      </c>
      <c r="G42" s="29">
        <v>1881.77</v>
      </c>
      <c r="H42" s="29">
        <v>1871.33</v>
      </c>
      <c r="I42" s="29">
        <v>672.76</v>
      </c>
      <c r="K42" s="34" t="s">
        <v>0</v>
      </c>
      <c r="L42" s="34" t="s">
        <v>131</v>
      </c>
      <c r="M42" s="29">
        <v>480.63</v>
      </c>
      <c r="N42" s="29">
        <v>397.24</v>
      </c>
      <c r="O42" s="29">
        <v>687.25</v>
      </c>
      <c r="P42" s="29">
        <v>1109.1699999999998</v>
      </c>
      <c r="Q42" s="29">
        <v>1012.38</v>
      </c>
      <c r="R42" s="29">
        <v>672.76</v>
      </c>
    </row>
    <row r="43" spans="1:18" ht="15" customHeight="1">
      <c r="A43" s="128"/>
      <c r="B43" s="34" t="s">
        <v>1</v>
      </c>
      <c r="C43" s="34" t="s">
        <v>130</v>
      </c>
      <c r="D43" s="29">
        <v>3635.05</v>
      </c>
      <c r="E43" s="29">
        <v>2067.5500000000002</v>
      </c>
      <c r="F43" s="29">
        <v>2987.16</v>
      </c>
      <c r="G43" s="29">
        <v>2476.4299999999998</v>
      </c>
      <c r="H43" s="29">
        <v>3304.1000000000004</v>
      </c>
      <c r="I43" s="29">
        <v>1051.5</v>
      </c>
      <c r="K43" s="34" t="s">
        <v>1</v>
      </c>
      <c r="L43" s="34" t="s">
        <v>130</v>
      </c>
      <c r="M43" s="29">
        <v>1728.6499999999999</v>
      </c>
      <c r="N43" s="29">
        <v>931.35</v>
      </c>
      <c r="O43" s="29">
        <v>1723.03</v>
      </c>
      <c r="P43" s="29">
        <v>1728.35</v>
      </c>
      <c r="Q43" s="29">
        <v>1930.9</v>
      </c>
      <c r="R43" s="29">
        <v>1051.5</v>
      </c>
    </row>
    <row r="44" spans="1:18" ht="15" customHeight="1">
      <c r="A44" s="140"/>
      <c r="B44" s="34" t="s">
        <v>2</v>
      </c>
      <c r="C44" s="34" t="s">
        <v>132</v>
      </c>
      <c r="D44" s="29">
        <v>2563.73</v>
      </c>
      <c r="E44" s="29">
        <v>2635.5699999999997</v>
      </c>
      <c r="F44" s="29">
        <v>2897.14</v>
      </c>
      <c r="G44" s="29">
        <v>1808.1</v>
      </c>
      <c r="H44" s="29">
        <v>2945.36</v>
      </c>
      <c r="I44" s="29">
        <v>1450.87</v>
      </c>
      <c r="K44" s="34" t="s">
        <v>2</v>
      </c>
      <c r="L44" s="34" t="s">
        <v>132</v>
      </c>
      <c r="M44" s="29">
        <v>1468.6599999999999</v>
      </c>
      <c r="N44" s="29">
        <v>1540.4199999999998</v>
      </c>
      <c r="O44" s="29">
        <v>1451.57</v>
      </c>
      <c r="P44" s="29">
        <v>921.7</v>
      </c>
      <c r="Q44" s="29">
        <v>1248.42</v>
      </c>
      <c r="R44" s="29">
        <v>1450.87</v>
      </c>
    </row>
    <row r="45" spans="1:18">
      <c r="A45" s="140"/>
      <c r="B45" s="34" t="s">
        <v>3</v>
      </c>
      <c r="C45" s="34" t="s">
        <v>133</v>
      </c>
      <c r="D45" s="29">
        <v>5706.8899999999994</v>
      </c>
      <c r="E45" s="29">
        <v>4871.91</v>
      </c>
      <c r="F45" s="29">
        <v>3240.8500000000004</v>
      </c>
      <c r="G45" s="29">
        <v>3523.29</v>
      </c>
      <c r="H45" s="29">
        <v>2239.1899999999996</v>
      </c>
      <c r="I45" s="29">
        <v>789.35</v>
      </c>
      <c r="K45" s="34" t="s">
        <v>3</v>
      </c>
      <c r="L45" s="34" t="s">
        <v>133</v>
      </c>
      <c r="M45" s="29">
        <v>3416.7400000000002</v>
      </c>
      <c r="N45" s="29">
        <v>3374.81</v>
      </c>
      <c r="O45" s="29">
        <v>1997.1</v>
      </c>
      <c r="P45" s="29">
        <v>2161.5700000000002</v>
      </c>
      <c r="Q45" s="29">
        <v>1315.16</v>
      </c>
      <c r="R45" s="29">
        <v>789.35</v>
      </c>
    </row>
    <row r="46" spans="1:18">
      <c r="A46" s="128"/>
      <c r="B46" s="34" t="s">
        <v>4</v>
      </c>
      <c r="C46" s="34" t="s">
        <v>134</v>
      </c>
      <c r="D46" s="29">
        <v>10492.439999999997</v>
      </c>
      <c r="E46" s="29">
        <v>13231.130000000001</v>
      </c>
      <c r="F46" s="29">
        <v>10591.079999999998</v>
      </c>
      <c r="G46" s="29">
        <v>9259.68</v>
      </c>
      <c r="H46" s="29">
        <v>6295.7399999999989</v>
      </c>
      <c r="I46" s="29">
        <v>2638.5800000000004</v>
      </c>
      <c r="K46" s="34" t="s">
        <v>4</v>
      </c>
      <c r="L46" s="34" t="s">
        <v>134</v>
      </c>
      <c r="M46" s="29">
        <v>5272.84</v>
      </c>
      <c r="N46" s="29">
        <v>7557.0599999999995</v>
      </c>
      <c r="O46" s="29">
        <v>6111.9800000000005</v>
      </c>
      <c r="P46" s="29">
        <v>5159.79</v>
      </c>
      <c r="Q46" s="29">
        <v>3714.7499999999995</v>
      </c>
      <c r="R46" s="29">
        <v>2638.5800000000004</v>
      </c>
    </row>
    <row r="47" spans="1:18">
      <c r="A47" s="128"/>
      <c r="B47" s="34" t="s">
        <v>5</v>
      </c>
      <c r="C47" s="34" t="s">
        <v>135</v>
      </c>
      <c r="D47" s="29">
        <v>5098</v>
      </c>
      <c r="E47" s="29">
        <v>5267.6100000000006</v>
      </c>
      <c r="F47" s="29">
        <v>6617.33</v>
      </c>
      <c r="G47" s="29">
        <v>4393.92</v>
      </c>
      <c r="H47" s="29">
        <v>3432.94</v>
      </c>
      <c r="I47" s="29">
        <v>1105.7599999999998</v>
      </c>
      <c r="K47" s="34" t="s">
        <v>5</v>
      </c>
      <c r="L47" s="34" t="s">
        <v>135</v>
      </c>
      <c r="M47" s="29">
        <v>2325.14</v>
      </c>
      <c r="N47" s="29">
        <v>2526.4499999999998</v>
      </c>
      <c r="O47" s="29">
        <v>3307.66</v>
      </c>
      <c r="P47" s="29">
        <v>2602.9899999999998</v>
      </c>
      <c r="Q47" s="29">
        <v>2371.12</v>
      </c>
      <c r="R47" s="29">
        <v>1105.7599999999998</v>
      </c>
    </row>
    <row r="48" spans="1:18">
      <c r="A48" s="128"/>
      <c r="B48" s="34" t="s">
        <v>6</v>
      </c>
      <c r="C48" s="34" t="s">
        <v>136</v>
      </c>
      <c r="D48" s="29">
        <v>1997.77</v>
      </c>
      <c r="E48" s="29">
        <v>2256.7999999999997</v>
      </c>
      <c r="F48" s="29">
        <v>2146.3000000000002</v>
      </c>
      <c r="G48" s="29">
        <v>2083.98</v>
      </c>
      <c r="H48" s="29">
        <v>2702.76</v>
      </c>
      <c r="I48" s="29">
        <v>911.54</v>
      </c>
      <c r="K48" s="34" t="s">
        <v>6</v>
      </c>
      <c r="L48" s="34" t="s">
        <v>136</v>
      </c>
      <c r="M48" s="29">
        <v>794.76</v>
      </c>
      <c r="N48" s="29">
        <v>988.99</v>
      </c>
      <c r="O48" s="29">
        <v>1210.17</v>
      </c>
      <c r="P48" s="29">
        <v>1025.46</v>
      </c>
      <c r="Q48" s="29">
        <v>1066.43</v>
      </c>
      <c r="R48" s="29">
        <v>911.54</v>
      </c>
    </row>
    <row r="49" spans="1:18">
      <c r="A49" s="128"/>
      <c r="B49" s="34" t="s">
        <v>7</v>
      </c>
      <c r="C49" s="34" t="s">
        <v>137</v>
      </c>
      <c r="D49" s="29">
        <v>6320.91</v>
      </c>
      <c r="E49" s="29">
        <v>2245.7800000000002</v>
      </c>
      <c r="F49" s="29">
        <v>3213.4300000000003</v>
      </c>
      <c r="G49" s="29">
        <v>2533.71</v>
      </c>
      <c r="H49" s="29">
        <v>2407.21</v>
      </c>
      <c r="I49" s="29">
        <v>863.71</v>
      </c>
      <c r="K49" s="34" t="s">
        <v>7</v>
      </c>
      <c r="L49" s="34" t="s">
        <v>137</v>
      </c>
      <c r="M49" s="29">
        <v>1912.8899999999999</v>
      </c>
      <c r="N49" s="29">
        <v>1270.2899999999997</v>
      </c>
      <c r="O49" s="29">
        <v>1902.5300000000002</v>
      </c>
      <c r="P49" s="29">
        <v>1669.6599999999999</v>
      </c>
      <c r="Q49" s="29">
        <v>1136.1199999999999</v>
      </c>
      <c r="R49" s="29">
        <v>863.71</v>
      </c>
    </row>
    <row r="50" spans="1:18">
      <c r="A50" s="128"/>
      <c r="B50" s="34" t="s">
        <v>8</v>
      </c>
      <c r="C50" s="34" t="s">
        <v>138</v>
      </c>
      <c r="D50" s="29">
        <v>1543.2599999999998</v>
      </c>
      <c r="E50" s="29">
        <v>1592.18</v>
      </c>
      <c r="F50" s="29">
        <v>1261.01</v>
      </c>
      <c r="G50" s="29">
        <v>1418.63</v>
      </c>
      <c r="H50" s="29">
        <v>1178.24</v>
      </c>
      <c r="I50" s="29">
        <v>587.75</v>
      </c>
      <c r="K50" s="34" t="s">
        <v>8</v>
      </c>
      <c r="L50" s="34" t="s">
        <v>138</v>
      </c>
      <c r="M50" s="29">
        <v>854.34</v>
      </c>
      <c r="N50" s="29">
        <v>1004.59</v>
      </c>
      <c r="O50" s="29">
        <v>711.38</v>
      </c>
      <c r="P50" s="29">
        <v>805.65000000000009</v>
      </c>
      <c r="Q50" s="29">
        <v>575.04</v>
      </c>
      <c r="R50" s="29">
        <v>587.75</v>
      </c>
    </row>
    <row r="51" spans="1:18">
      <c r="A51" s="128"/>
      <c r="B51" s="34" t="s">
        <v>9</v>
      </c>
      <c r="C51" s="34" t="s">
        <v>139</v>
      </c>
      <c r="D51" s="29">
        <v>528.79999999999995</v>
      </c>
      <c r="E51" s="29">
        <v>742</v>
      </c>
      <c r="F51" s="29">
        <v>1043.8599999999999</v>
      </c>
      <c r="G51" s="29">
        <v>1180.05</v>
      </c>
      <c r="H51" s="29">
        <v>1150.25</v>
      </c>
      <c r="I51" s="29">
        <v>534.9</v>
      </c>
      <c r="K51" s="34" t="s">
        <v>9</v>
      </c>
      <c r="L51" s="34" t="s">
        <v>139</v>
      </c>
      <c r="M51" s="29">
        <v>213.8</v>
      </c>
      <c r="N51" s="29">
        <v>451.75</v>
      </c>
      <c r="O51" s="29">
        <v>558.34999999999991</v>
      </c>
      <c r="P51" s="29">
        <v>722</v>
      </c>
      <c r="Q51" s="29">
        <v>614.75</v>
      </c>
      <c r="R51" s="29">
        <v>534.9</v>
      </c>
    </row>
    <row r="52" spans="1:18">
      <c r="A52" s="128"/>
      <c r="B52" s="34" t="s">
        <v>10</v>
      </c>
      <c r="C52" s="34" t="s">
        <v>140</v>
      </c>
      <c r="D52" s="29">
        <v>1980.2699999999998</v>
      </c>
      <c r="E52" s="29">
        <v>2340.04</v>
      </c>
      <c r="F52" s="29">
        <v>1800.6100000000001</v>
      </c>
      <c r="G52" s="29">
        <v>2964.48</v>
      </c>
      <c r="H52" s="29">
        <v>2364.06</v>
      </c>
      <c r="I52" s="29">
        <v>877.76</v>
      </c>
      <c r="K52" s="34" t="s">
        <v>10</v>
      </c>
      <c r="L52" s="34" t="s">
        <v>140</v>
      </c>
      <c r="M52" s="29">
        <v>863.8</v>
      </c>
      <c r="N52" s="29">
        <v>1312.9199999999998</v>
      </c>
      <c r="O52" s="29">
        <v>1176.27</v>
      </c>
      <c r="P52" s="29">
        <v>1515.13</v>
      </c>
      <c r="Q52" s="29">
        <v>1391.79</v>
      </c>
      <c r="R52" s="29">
        <v>877.76</v>
      </c>
    </row>
    <row r="53" spans="1:18">
      <c r="A53" s="128"/>
      <c r="B53" s="34" t="s">
        <v>11</v>
      </c>
      <c r="C53" s="34" t="s">
        <v>141</v>
      </c>
      <c r="D53" s="29">
        <v>3306.23</v>
      </c>
      <c r="E53" s="29">
        <v>3803.5699999999997</v>
      </c>
      <c r="F53" s="29">
        <v>3546.77</v>
      </c>
      <c r="G53" s="29">
        <v>4190.08</v>
      </c>
      <c r="H53" s="29">
        <v>2656.0699999999997</v>
      </c>
      <c r="I53" s="29">
        <v>674.37</v>
      </c>
      <c r="K53" s="34" t="s">
        <v>11</v>
      </c>
      <c r="L53" s="34" t="s">
        <v>141</v>
      </c>
      <c r="M53" s="29">
        <v>1316.9</v>
      </c>
      <c r="N53" s="29">
        <v>2089.8200000000002</v>
      </c>
      <c r="O53" s="29">
        <v>1798.3899999999999</v>
      </c>
      <c r="P53" s="29">
        <v>2232.7800000000002</v>
      </c>
      <c r="Q53" s="29">
        <v>1433.47</v>
      </c>
      <c r="R53" s="29">
        <v>674.37</v>
      </c>
    </row>
    <row r="54" spans="1:18">
      <c r="A54" s="128"/>
      <c r="B54" s="34" t="s">
        <v>12</v>
      </c>
      <c r="C54" s="34" t="s">
        <v>142</v>
      </c>
      <c r="D54" s="29">
        <v>2250.2600000000002</v>
      </c>
      <c r="E54" s="29">
        <v>2497.13</v>
      </c>
      <c r="F54" s="29">
        <v>2585.48</v>
      </c>
      <c r="G54" s="29">
        <v>3387.07</v>
      </c>
      <c r="H54" s="29">
        <v>2686</v>
      </c>
      <c r="I54" s="29">
        <v>902.25</v>
      </c>
      <c r="K54" s="34" t="s">
        <v>12</v>
      </c>
      <c r="L54" s="34" t="s">
        <v>142</v>
      </c>
      <c r="M54" s="29">
        <v>1103.3599999999999</v>
      </c>
      <c r="N54" s="29">
        <v>1271.7599999999998</v>
      </c>
      <c r="O54" s="29">
        <v>1361.85</v>
      </c>
      <c r="P54" s="29">
        <v>1945.12</v>
      </c>
      <c r="Q54" s="29">
        <v>1401.55</v>
      </c>
      <c r="R54" s="29">
        <v>902.25</v>
      </c>
    </row>
    <row r="55" spans="1:18">
      <c r="A55" s="128"/>
      <c r="B55" s="34" t="s">
        <v>13</v>
      </c>
      <c r="C55" s="34" t="s">
        <v>143</v>
      </c>
      <c r="D55" s="29">
        <v>2177.67</v>
      </c>
      <c r="E55" s="29">
        <v>1466.86</v>
      </c>
      <c r="F55" s="29">
        <v>1183.8499999999999</v>
      </c>
      <c r="G55" s="29">
        <v>1485.1</v>
      </c>
      <c r="H55" s="29">
        <v>1057.4000000000001</v>
      </c>
      <c r="I55" s="29">
        <v>306.75</v>
      </c>
      <c r="K55" s="34" t="s">
        <v>13</v>
      </c>
      <c r="L55" s="34" t="s">
        <v>143</v>
      </c>
      <c r="M55" s="29">
        <v>862.24</v>
      </c>
      <c r="N55" s="29">
        <v>827.51</v>
      </c>
      <c r="O55" s="29">
        <v>561.25</v>
      </c>
      <c r="P55" s="29">
        <v>744.45</v>
      </c>
      <c r="Q55" s="29">
        <v>546.29999999999995</v>
      </c>
      <c r="R55" s="29">
        <v>306.75</v>
      </c>
    </row>
    <row r="56" spans="1:18">
      <c r="A56" s="128"/>
      <c r="B56" s="34" t="s">
        <v>14</v>
      </c>
      <c r="C56" s="34" t="s">
        <v>144</v>
      </c>
      <c r="D56" s="29">
        <v>550.49</v>
      </c>
      <c r="E56" s="29">
        <v>531.91</v>
      </c>
      <c r="F56" s="29">
        <v>537.65000000000009</v>
      </c>
      <c r="G56" s="29">
        <v>635.5</v>
      </c>
      <c r="H56" s="29">
        <v>275</v>
      </c>
      <c r="I56" s="29">
        <v>229</v>
      </c>
      <c r="K56" s="34" t="s">
        <v>14</v>
      </c>
      <c r="L56" s="34" t="s">
        <v>144</v>
      </c>
      <c r="M56" s="29">
        <v>282.75</v>
      </c>
      <c r="N56" s="29">
        <v>370.15999999999997</v>
      </c>
      <c r="O56" s="29">
        <v>339.07</v>
      </c>
      <c r="P56" s="29">
        <v>256.5</v>
      </c>
      <c r="Q56" s="29">
        <v>235</v>
      </c>
      <c r="R56" s="29">
        <v>229</v>
      </c>
    </row>
    <row r="57" spans="1:18">
      <c r="A57" s="128"/>
      <c r="B57" s="34" t="s">
        <v>15</v>
      </c>
      <c r="C57" s="34" t="s">
        <v>145</v>
      </c>
      <c r="D57" s="29">
        <v>174.68</v>
      </c>
      <c r="E57" s="29">
        <v>184.7</v>
      </c>
      <c r="F57" s="29">
        <v>242.05</v>
      </c>
      <c r="G57" s="29">
        <v>496.8</v>
      </c>
      <c r="H57" s="29">
        <v>312.2</v>
      </c>
      <c r="I57" s="29">
        <v>77.300000000000011</v>
      </c>
      <c r="K57" s="34" t="s">
        <v>15</v>
      </c>
      <c r="L57" s="34" t="s">
        <v>145</v>
      </c>
      <c r="M57" s="29">
        <v>84.429999999999993</v>
      </c>
      <c r="N57" s="29">
        <v>136.69999999999999</v>
      </c>
      <c r="O57" s="29">
        <v>209.8</v>
      </c>
      <c r="P57" s="29">
        <v>363</v>
      </c>
      <c r="Q57" s="29">
        <v>129.85000000000002</v>
      </c>
      <c r="R57" s="29">
        <v>77.300000000000011</v>
      </c>
    </row>
    <row r="58" spans="1:18">
      <c r="A58" s="128"/>
      <c r="B58" s="34"/>
      <c r="C58" s="25"/>
      <c r="D58" s="72">
        <v>49430.71</v>
      </c>
      <c r="E58" s="72">
        <v>46620.68</v>
      </c>
      <c r="F58" s="72">
        <v>44995.390000000007</v>
      </c>
      <c r="G58" s="72">
        <v>43718.590000000004</v>
      </c>
      <c r="H58" s="72">
        <v>36877.85</v>
      </c>
      <c r="I58" s="72">
        <v>13674.15</v>
      </c>
      <c r="K58" s="34"/>
      <c r="L58" s="25"/>
      <c r="M58" s="72">
        <v>22981.930000000004</v>
      </c>
      <c r="N58" s="72">
        <v>26051.819999999996</v>
      </c>
      <c r="O58" s="72">
        <v>25107.649999999998</v>
      </c>
      <c r="P58" s="72">
        <v>24963.32</v>
      </c>
      <c r="Q58" s="72">
        <v>20123.03</v>
      </c>
      <c r="R58" s="72">
        <v>13674.15</v>
      </c>
    </row>
    <row r="61" spans="1:18">
      <c r="A61" s="174" t="s">
        <v>45</v>
      </c>
      <c r="B61" s="2" t="s">
        <v>146</v>
      </c>
      <c r="C61" s="2" t="s">
        <v>147</v>
      </c>
      <c r="D61" s="2">
        <v>2021</v>
      </c>
      <c r="E61" s="2">
        <v>2022</v>
      </c>
      <c r="F61" s="2">
        <v>2023</v>
      </c>
      <c r="G61" s="2">
        <v>2024</v>
      </c>
      <c r="H61" s="2">
        <v>2025</v>
      </c>
      <c r="I61" s="2">
        <v>2026</v>
      </c>
      <c r="K61" s="87" t="s">
        <v>146</v>
      </c>
      <c r="L61" s="87" t="s">
        <v>147</v>
      </c>
      <c r="M61" s="87">
        <v>2021</v>
      </c>
      <c r="N61" s="87">
        <v>2022</v>
      </c>
      <c r="O61" s="87">
        <v>2023</v>
      </c>
      <c r="P61" s="87">
        <v>2024</v>
      </c>
      <c r="Q61" s="87">
        <v>2025</v>
      </c>
      <c r="R61" s="87">
        <v>2026</v>
      </c>
    </row>
    <row r="62" spans="1:18">
      <c r="A62" s="174"/>
      <c r="B62" s="34" t="s">
        <v>0</v>
      </c>
      <c r="C62" s="34" t="s">
        <v>131</v>
      </c>
      <c r="D62" s="29">
        <v>663</v>
      </c>
      <c r="E62" s="29">
        <v>586</v>
      </c>
      <c r="F62" s="29">
        <v>566</v>
      </c>
      <c r="G62" s="29">
        <v>573</v>
      </c>
      <c r="H62" s="29">
        <v>784</v>
      </c>
      <c r="I62" s="29">
        <v>78</v>
      </c>
      <c r="K62" s="88" t="s">
        <v>0</v>
      </c>
      <c r="L62" s="88" t="s">
        <v>131</v>
      </c>
      <c r="M62" s="89">
        <v>168</v>
      </c>
      <c r="N62" s="89">
        <v>53</v>
      </c>
      <c r="O62" s="89">
        <v>150</v>
      </c>
      <c r="P62" s="89">
        <v>190</v>
      </c>
      <c r="Q62" s="89">
        <v>250</v>
      </c>
      <c r="R62" s="89">
        <v>78</v>
      </c>
    </row>
    <row r="63" spans="1:18" ht="15" customHeight="1">
      <c r="A63" s="146"/>
      <c r="B63" s="34" t="s">
        <v>1</v>
      </c>
      <c r="C63" s="34" t="s">
        <v>130</v>
      </c>
      <c r="D63" s="29">
        <v>894</v>
      </c>
      <c r="E63" s="29">
        <v>763</v>
      </c>
      <c r="F63" s="29">
        <v>916</v>
      </c>
      <c r="G63" s="29">
        <v>1034</v>
      </c>
      <c r="H63" s="29">
        <v>720</v>
      </c>
      <c r="I63" s="29">
        <v>76</v>
      </c>
      <c r="K63" s="88" t="s">
        <v>1</v>
      </c>
      <c r="L63" s="88" t="s">
        <v>130</v>
      </c>
      <c r="M63" s="89">
        <v>305</v>
      </c>
      <c r="N63" s="89">
        <v>293</v>
      </c>
      <c r="O63" s="89">
        <v>423</v>
      </c>
      <c r="P63" s="89">
        <v>317</v>
      </c>
      <c r="Q63" s="89">
        <v>82</v>
      </c>
      <c r="R63" s="89">
        <v>76</v>
      </c>
    </row>
    <row r="64" spans="1:18" ht="15" customHeight="1">
      <c r="A64" s="147"/>
      <c r="B64" s="34" t="s">
        <v>2</v>
      </c>
      <c r="C64" s="34" t="s">
        <v>132</v>
      </c>
      <c r="D64" s="29">
        <v>137</v>
      </c>
      <c r="E64" s="29">
        <v>181</v>
      </c>
      <c r="F64" s="29">
        <v>186</v>
      </c>
      <c r="G64" s="29">
        <v>119</v>
      </c>
      <c r="H64" s="29">
        <v>178</v>
      </c>
      <c r="I64" s="29">
        <v>23</v>
      </c>
      <c r="K64" s="88" t="s">
        <v>2</v>
      </c>
      <c r="L64" s="88" t="s">
        <v>132</v>
      </c>
      <c r="M64" s="89">
        <v>9</v>
      </c>
      <c r="N64" s="89">
        <v>114</v>
      </c>
      <c r="O64" s="89">
        <v>20</v>
      </c>
      <c r="P64" s="89">
        <v>25</v>
      </c>
      <c r="Q64" s="89">
        <v>64</v>
      </c>
      <c r="R64" s="89">
        <v>23</v>
      </c>
    </row>
    <row r="65" spans="1:18">
      <c r="A65" s="147"/>
      <c r="B65" s="34" t="s">
        <v>3</v>
      </c>
      <c r="C65" s="34" t="s">
        <v>133</v>
      </c>
      <c r="D65" s="29">
        <v>1040</v>
      </c>
      <c r="E65" s="29">
        <v>991</v>
      </c>
      <c r="F65" s="29">
        <v>527</v>
      </c>
      <c r="G65" s="29">
        <v>598</v>
      </c>
      <c r="H65" s="29">
        <v>392</v>
      </c>
      <c r="I65" s="29">
        <v>103</v>
      </c>
      <c r="K65" s="88" t="s">
        <v>3</v>
      </c>
      <c r="L65" s="88" t="s">
        <v>133</v>
      </c>
      <c r="M65" s="89">
        <v>461</v>
      </c>
      <c r="N65" s="89">
        <v>291</v>
      </c>
      <c r="O65" s="89">
        <v>272</v>
      </c>
      <c r="P65" s="89">
        <v>250</v>
      </c>
      <c r="Q65" s="89">
        <v>205</v>
      </c>
      <c r="R65" s="89">
        <v>103</v>
      </c>
    </row>
    <row r="66" spans="1:18">
      <c r="A66" s="146"/>
      <c r="B66" s="34" t="s">
        <v>4</v>
      </c>
      <c r="C66" s="34" t="s">
        <v>134</v>
      </c>
      <c r="D66" s="29">
        <v>1005</v>
      </c>
      <c r="E66" s="29">
        <v>383</v>
      </c>
      <c r="F66" s="29">
        <v>439</v>
      </c>
      <c r="G66" s="29">
        <v>932</v>
      </c>
      <c r="H66" s="29">
        <v>369</v>
      </c>
      <c r="I66" s="29">
        <v>489</v>
      </c>
      <c r="K66" s="88" t="s">
        <v>4</v>
      </c>
      <c r="L66" s="88" t="s">
        <v>134</v>
      </c>
      <c r="M66" s="89">
        <v>569</v>
      </c>
      <c r="N66" s="89">
        <v>197</v>
      </c>
      <c r="O66" s="89">
        <v>186</v>
      </c>
      <c r="P66" s="89">
        <v>509</v>
      </c>
      <c r="Q66" s="89">
        <v>81</v>
      </c>
      <c r="R66" s="89">
        <v>489</v>
      </c>
    </row>
    <row r="67" spans="1:18">
      <c r="A67" s="146"/>
      <c r="B67" s="34" t="s">
        <v>5</v>
      </c>
      <c r="C67" s="34" t="s">
        <v>135</v>
      </c>
      <c r="D67" s="29">
        <v>246</v>
      </c>
      <c r="E67" s="29">
        <v>516</v>
      </c>
      <c r="F67" s="29">
        <v>561</v>
      </c>
      <c r="G67" s="29">
        <v>226</v>
      </c>
      <c r="H67" s="29">
        <v>76</v>
      </c>
      <c r="I67" s="29">
        <v>127</v>
      </c>
      <c r="K67" s="88" t="s">
        <v>5</v>
      </c>
      <c r="L67" s="88" t="s">
        <v>135</v>
      </c>
      <c r="M67" s="89">
        <v>177</v>
      </c>
      <c r="N67" s="89">
        <v>59</v>
      </c>
      <c r="O67" s="89">
        <v>244</v>
      </c>
      <c r="P67" s="89">
        <v>96</v>
      </c>
      <c r="Q67" s="89">
        <v>16</v>
      </c>
      <c r="R67" s="89">
        <v>127</v>
      </c>
    </row>
    <row r="68" spans="1:18">
      <c r="A68" s="146"/>
      <c r="B68" s="34" t="s">
        <v>6</v>
      </c>
      <c r="C68" s="34" t="s">
        <v>136</v>
      </c>
      <c r="D68" s="29">
        <v>234</v>
      </c>
      <c r="E68" s="29">
        <v>497</v>
      </c>
      <c r="F68" s="29">
        <v>818</v>
      </c>
      <c r="G68" s="29">
        <v>1296</v>
      </c>
      <c r="H68" s="29">
        <v>1097</v>
      </c>
      <c r="I68" s="29">
        <v>166</v>
      </c>
      <c r="K68" s="88" t="s">
        <v>6</v>
      </c>
      <c r="L68" s="88" t="s">
        <v>136</v>
      </c>
      <c r="M68" s="89">
        <v>3</v>
      </c>
      <c r="N68" s="89">
        <v>240</v>
      </c>
      <c r="O68" s="89">
        <v>415</v>
      </c>
      <c r="P68" s="89">
        <v>363</v>
      </c>
      <c r="Q68" s="89">
        <v>369</v>
      </c>
      <c r="R68" s="89">
        <v>166</v>
      </c>
    </row>
    <row r="69" spans="1:18">
      <c r="A69" s="146"/>
      <c r="B69" s="34" t="s">
        <v>7</v>
      </c>
      <c r="C69" s="34" t="s">
        <v>137</v>
      </c>
      <c r="D69" s="29">
        <v>145</v>
      </c>
      <c r="E69" s="29">
        <v>173</v>
      </c>
      <c r="F69" s="29">
        <v>213</v>
      </c>
      <c r="G69" s="29">
        <v>114</v>
      </c>
      <c r="H69" s="29">
        <v>110</v>
      </c>
      <c r="I69" s="29">
        <v>8</v>
      </c>
      <c r="K69" s="88" t="s">
        <v>7</v>
      </c>
      <c r="L69" s="88" t="s">
        <v>137</v>
      </c>
      <c r="M69" s="89">
        <v>22</v>
      </c>
      <c r="N69" s="89">
        <v>32</v>
      </c>
      <c r="O69" s="89">
        <v>41</v>
      </c>
      <c r="P69" s="89">
        <v>8</v>
      </c>
      <c r="Q69" s="89">
        <v>11</v>
      </c>
      <c r="R69" s="89">
        <v>8</v>
      </c>
    </row>
    <row r="70" spans="1:18">
      <c r="A70" s="146"/>
      <c r="B70" s="34" t="s">
        <v>8</v>
      </c>
      <c r="C70" s="34" t="s">
        <v>138</v>
      </c>
      <c r="D70" s="29">
        <v>423</v>
      </c>
      <c r="E70" s="29">
        <v>451</v>
      </c>
      <c r="F70" s="29">
        <v>224</v>
      </c>
      <c r="G70" s="29">
        <v>260</v>
      </c>
      <c r="H70" s="29">
        <v>55</v>
      </c>
      <c r="I70" s="29">
        <v>10</v>
      </c>
      <c r="K70" s="88" t="s">
        <v>8</v>
      </c>
      <c r="L70" s="88" t="s">
        <v>138</v>
      </c>
      <c r="M70" s="89">
        <v>263</v>
      </c>
      <c r="N70" s="89">
        <v>260</v>
      </c>
      <c r="O70" s="89">
        <v>69</v>
      </c>
      <c r="P70" s="89">
        <v>190</v>
      </c>
      <c r="Q70" s="89">
        <v>49</v>
      </c>
      <c r="R70" s="89">
        <v>10</v>
      </c>
    </row>
    <row r="71" spans="1:18">
      <c r="A71" s="146"/>
      <c r="B71" s="34" t="s">
        <v>9</v>
      </c>
      <c r="C71" s="34" t="s">
        <v>139</v>
      </c>
      <c r="D71" s="29">
        <v>71</v>
      </c>
      <c r="E71" s="29">
        <v>114</v>
      </c>
      <c r="F71" s="29">
        <v>447</v>
      </c>
      <c r="G71" s="29">
        <v>331</v>
      </c>
      <c r="H71" s="29">
        <v>48</v>
      </c>
      <c r="I71" s="29">
        <v>17</v>
      </c>
      <c r="K71" s="88" t="s">
        <v>9</v>
      </c>
      <c r="L71" s="88" t="s">
        <v>139</v>
      </c>
      <c r="M71" s="89">
        <v>35</v>
      </c>
      <c r="N71" s="89">
        <v>51</v>
      </c>
      <c r="O71" s="89">
        <v>284</v>
      </c>
      <c r="P71" s="89">
        <v>201</v>
      </c>
      <c r="Q71" s="89">
        <v>45</v>
      </c>
      <c r="R71" s="89">
        <v>17</v>
      </c>
    </row>
    <row r="72" spans="1:18">
      <c r="A72" s="146"/>
      <c r="B72" s="34" t="s">
        <v>10</v>
      </c>
      <c r="C72" s="34" t="s">
        <v>140</v>
      </c>
      <c r="D72" s="29">
        <v>350</v>
      </c>
      <c r="E72" s="29">
        <v>247</v>
      </c>
      <c r="F72" s="29">
        <v>264</v>
      </c>
      <c r="G72" s="29">
        <v>320</v>
      </c>
      <c r="H72" s="29">
        <v>213</v>
      </c>
      <c r="I72" s="29">
        <v>130</v>
      </c>
      <c r="K72" s="88" t="s">
        <v>10</v>
      </c>
      <c r="L72" s="88" t="s">
        <v>140</v>
      </c>
      <c r="M72" s="89">
        <v>128</v>
      </c>
      <c r="N72" s="89">
        <v>119</v>
      </c>
      <c r="O72" s="89">
        <v>123</v>
      </c>
      <c r="P72" s="89">
        <v>219</v>
      </c>
      <c r="Q72" s="89">
        <v>101</v>
      </c>
      <c r="R72" s="89">
        <v>130</v>
      </c>
    </row>
    <row r="73" spans="1:18">
      <c r="A73" s="146"/>
      <c r="B73" s="34" t="s">
        <v>11</v>
      </c>
      <c r="C73" s="34" t="s">
        <v>141</v>
      </c>
      <c r="D73" s="29">
        <v>760</v>
      </c>
      <c r="E73" s="29">
        <v>495</v>
      </c>
      <c r="F73" s="29">
        <v>625</v>
      </c>
      <c r="G73" s="29">
        <v>624</v>
      </c>
      <c r="H73" s="29">
        <v>636</v>
      </c>
      <c r="I73" s="29">
        <v>201</v>
      </c>
      <c r="K73" s="88" t="s">
        <v>11</v>
      </c>
      <c r="L73" s="88" t="s">
        <v>141</v>
      </c>
      <c r="M73" s="89">
        <v>511</v>
      </c>
      <c r="N73" s="89">
        <v>214</v>
      </c>
      <c r="O73" s="89">
        <v>238</v>
      </c>
      <c r="P73" s="89">
        <v>263</v>
      </c>
      <c r="Q73" s="89">
        <v>175</v>
      </c>
      <c r="R73" s="89">
        <v>201</v>
      </c>
    </row>
    <row r="74" spans="1:18">
      <c r="A74" s="146"/>
      <c r="B74" s="34" t="s">
        <v>12</v>
      </c>
      <c r="C74" s="34" t="s">
        <v>142</v>
      </c>
      <c r="D74" s="29">
        <v>263</v>
      </c>
      <c r="E74" s="29">
        <v>327</v>
      </c>
      <c r="F74" s="29">
        <v>514</v>
      </c>
      <c r="G74" s="29">
        <v>842</v>
      </c>
      <c r="H74" s="29">
        <v>789</v>
      </c>
      <c r="I74" s="29">
        <v>288</v>
      </c>
      <c r="K74" s="88" t="s">
        <v>12</v>
      </c>
      <c r="L74" s="88" t="s">
        <v>142</v>
      </c>
      <c r="M74" s="89">
        <v>89</v>
      </c>
      <c r="N74" s="89">
        <v>158</v>
      </c>
      <c r="O74" s="89">
        <v>355</v>
      </c>
      <c r="P74" s="89">
        <v>448</v>
      </c>
      <c r="Q74" s="89">
        <v>522</v>
      </c>
      <c r="R74" s="89">
        <v>288</v>
      </c>
    </row>
    <row r="75" spans="1:18">
      <c r="A75" s="146"/>
      <c r="B75" s="34" t="s">
        <v>13</v>
      </c>
      <c r="C75" s="34" t="s">
        <v>143</v>
      </c>
      <c r="D75" s="29">
        <v>185</v>
      </c>
      <c r="E75" s="29">
        <v>189</v>
      </c>
      <c r="F75" s="29">
        <v>242</v>
      </c>
      <c r="G75" s="29">
        <v>254</v>
      </c>
      <c r="H75" s="29">
        <v>233</v>
      </c>
      <c r="I75" s="29">
        <v>29</v>
      </c>
      <c r="K75" s="88" t="s">
        <v>13</v>
      </c>
      <c r="L75" s="88" t="s">
        <v>143</v>
      </c>
      <c r="M75" s="89">
        <v>36</v>
      </c>
      <c r="N75" s="89">
        <v>27</v>
      </c>
      <c r="O75" s="89">
        <v>68</v>
      </c>
      <c r="P75" s="89">
        <v>68</v>
      </c>
      <c r="Q75" s="89">
        <v>80</v>
      </c>
      <c r="R75" s="89">
        <v>29</v>
      </c>
    </row>
    <row r="76" spans="1:18">
      <c r="A76" s="146"/>
      <c r="B76" s="34" t="s">
        <v>14</v>
      </c>
      <c r="C76" s="34" t="s">
        <v>144</v>
      </c>
      <c r="D76" s="29">
        <v>0</v>
      </c>
      <c r="E76" s="29">
        <v>0</v>
      </c>
      <c r="F76" s="29">
        <v>0</v>
      </c>
      <c r="G76" s="29">
        <v>0</v>
      </c>
      <c r="H76" s="29">
        <v>0</v>
      </c>
      <c r="I76" s="29">
        <v>0</v>
      </c>
      <c r="K76" s="88" t="s">
        <v>14</v>
      </c>
      <c r="L76" s="88" t="s">
        <v>144</v>
      </c>
      <c r="M76" s="89">
        <v>0</v>
      </c>
      <c r="N76" s="89">
        <v>0</v>
      </c>
      <c r="O76" s="89">
        <v>0</v>
      </c>
      <c r="P76" s="89">
        <v>0</v>
      </c>
      <c r="Q76" s="89">
        <v>0</v>
      </c>
      <c r="R76" s="89">
        <v>0</v>
      </c>
    </row>
    <row r="77" spans="1:18">
      <c r="A77" s="146"/>
      <c r="B77" s="34" t="s">
        <v>15</v>
      </c>
      <c r="C77" s="34" t="s">
        <v>145</v>
      </c>
      <c r="D77" s="29">
        <v>0</v>
      </c>
      <c r="E77" s="29">
        <v>3</v>
      </c>
      <c r="F77" s="29">
        <v>0</v>
      </c>
      <c r="G77" s="29">
        <v>37</v>
      </c>
      <c r="H77" s="29">
        <v>1</v>
      </c>
      <c r="I77" s="29">
        <v>0</v>
      </c>
      <c r="K77" s="88" t="s">
        <v>15</v>
      </c>
      <c r="L77" s="88" t="s">
        <v>145</v>
      </c>
      <c r="M77" s="89">
        <v>0</v>
      </c>
      <c r="N77" s="89">
        <v>0</v>
      </c>
      <c r="O77" s="89">
        <v>0</v>
      </c>
      <c r="P77" s="89">
        <v>4</v>
      </c>
      <c r="Q77" s="89">
        <v>1</v>
      </c>
      <c r="R77" s="89">
        <v>0</v>
      </c>
    </row>
    <row r="78" spans="1:18">
      <c r="A78" s="146"/>
      <c r="B78" s="34"/>
      <c r="C78" s="25"/>
      <c r="D78" s="27">
        <v>6416</v>
      </c>
      <c r="E78" s="72">
        <v>5916</v>
      </c>
      <c r="F78" s="72">
        <v>6542</v>
      </c>
      <c r="G78" s="72">
        <v>7560</v>
      </c>
      <c r="H78" s="72">
        <v>5701</v>
      </c>
      <c r="I78" s="72">
        <v>1745</v>
      </c>
      <c r="K78" s="88"/>
      <c r="L78" s="90"/>
      <c r="M78" s="91">
        <v>2776</v>
      </c>
      <c r="N78" s="91">
        <v>2108</v>
      </c>
      <c r="O78" s="91">
        <v>2888</v>
      </c>
      <c r="P78" s="91">
        <v>3151</v>
      </c>
      <c r="Q78" s="91">
        <v>2051</v>
      </c>
      <c r="R78" s="91">
        <v>1745</v>
      </c>
    </row>
  </sheetData>
  <mergeCells count="4">
    <mergeCell ref="A1:A2"/>
    <mergeCell ref="A21:A22"/>
    <mergeCell ref="A41:A42"/>
    <mergeCell ref="A61:A62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R78"/>
  <sheetViews>
    <sheetView zoomScale="80" zoomScaleNormal="80" workbookViewId="0">
      <selection sqref="A1:A2"/>
    </sheetView>
  </sheetViews>
  <sheetFormatPr defaultColWidth="8.77734375" defaultRowHeight="14.4"/>
  <cols>
    <col min="1" max="1" width="28.44140625" customWidth="1"/>
    <col min="3" max="3" width="25.33203125" customWidth="1"/>
    <col min="12" max="12" width="25.33203125" customWidth="1"/>
  </cols>
  <sheetData>
    <row r="1" spans="1:18">
      <c r="A1" s="175" t="s">
        <v>104</v>
      </c>
      <c r="B1" s="92" t="s">
        <v>146</v>
      </c>
      <c r="C1" s="92" t="s">
        <v>147</v>
      </c>
      <c r="D1" s="92">
        <v>2021</v>
      </c>
      <c r="E1" s="92">
        <v>2022</v>
      </c>
      <c r="F1" s="92">
        <v>2023</v>
      </c>
      <c r="G1" s="92">
        <v>2024</v>
      </c>
      <c r="H1" s="92">
        <v>2025</v>
      </c>
      <c r="I1" s="92">
        <v>2026</v>
      </c>
      <c r="K1" s="92" t="s">
        <v>146</v>
      </c>
      <c r="L1" s="92" t="s">
        <v>147</v>
      </c>
      <c r="M1" s="92">
        <v>2021</v>
      </c>
      <c r="N1" s="92">
        <v>2022</v>
      </c>
      <c r="O1" s="92">
        <v>2023</v>
      </c>
      <c r="P1" s="92">
        <v>2024</v>
      </c>
      <c r="Q1" s="92">
        <v>2025</v>
      </c>
      <c r="R1" s="92">
        <v>2026</v>
      </c>
    </row>
    <row r="2" spans="1:18">
      <c r="A2" s="175"/>
      <c r="B2" s="93" t="s">
        <v>0</v>
      </c>
      <c r="C2" s="93" t="s">
        <v>131</v>
      </c>
      <c r="D2" s="94">
        <v>2656</v>
      </c>
      <c r="E2" s="94">
        <v>3194</v>
      </c>
      <c r="F2" s="94">
        <v>2730</v>
      </c>
      <c r="G2" s="94">
        <v>2890</v>
      </c>
      <c r="H2" s="94">
        <v>2878</v>
      </c>
      <c r="I2" s="94">
        <v>1206</v>
      </c>
      <c r="K2" s="93" t="s">
        <v>0</v>
      </c>
      <c r="L2" s="93" t="s">
        <v>131</v>
      </c>
      <c r="M2" s="94">
        <v>1518</v>
      </c>
      <c r="N2" s="94">
        <v>1838</v>
      </c>
      <c r="O2" s="94">
        <v>1583</v>
      </c>
      <c r="P2" s="94">
        <v>1767</v>
      </c>
      <c r="Q2" s="94">
        <v>1698</v>
      </c>
      <c r="R2" s="94">
        <v>1206</v>
      </c>
    </row>
    <row r="3" spans="1:18" ht="15" customHeight="1">
      <c r="A3" s="144"/>
      <c r="B3" s="93" t="s">
        <v>1</v>
      </c>
      <c r="C3" s="93" t="s">
        <v>130</v>
      </c>
      <c r="D3" s="94">
        <v>4208</v>
      </c>
      <c r="E3" s="94">
        <v>4510</v>
      </c>
      <c r="F3" s="94">
        <v>4851</v>
      </c>
      <c r="G3" s="94">
        <v>5145</v>
      </c>
      <c r="H3" s="94">
        <v>5770</v>
      </c>
      <c r="I3" s="94">
        <v>1908</v>
      </c>
      <c r="K3" s="93" t="s">
        <v>1</v>
      </c>
      <c r="L3" s="93" t="s">
        <v>130</v>
      </c>
      <c r="M3" s="94">
        <v>1896</v>
      </c>
      <c r="N3" s="94">
        <v>2346</v>
      </c>
      <c r="O3" s="94">
        <v>2797</v>
      </c>
      <c r="P3" s="94">
        <v>3136</v>
      </c>
      <c r="Q3" s="94">
        <v>3271</v>
      </c>
      <c r="R3" s="94">
        <v>1908</v>
      </c>
    </row>
    <row r="4" spans="1:18" ht="15" customHeight="1">
      <c r="A4" s="145" t="s">
        <v>101</v>
      </c>
      <c r="B4" s="93" t="s">
        <v>2</v>
      </c>
      <c r="C4" s="93" t="s">
        <v>132</v>
      </c>
      <c r="D4" s="94">
        <v>4615</v>
      </c>
      <c r="E4" s="94">
        <v>4886</v>
      </c>
      <c r="F4" s="94">
        <v>5291</v>
      </c>
      <c r="G4" s="94">
        <v>4238</v>
      </c>
      <c r="H4" s="94">
        <v>4312</v>
      </c>
      <c r="I4" s="94">
        <v>2219</v>
      </c>
      <c r="K4" s="93" t="s">
        <v>2</v>
      </c>
      <c r="L4" s="93" t="s">
        <v>132</v>
      </c>
      <c r="M4" s="94">
        <v>2505</v>
      </c>
      <c r="N4" s="94">
        <v>2868</v>
      </c>
      <c r="O4" s="94">
        <v>3245</v>
      </c>
      <c r="P4" s="94">
        <v>2620</v>
      </c>
      <c r="Q4" s="94">
        <v>2663</v>
      </c>
      <c r="R4" s="94">
        <v>2219</v>
      </c>
    </row>
    <row r="5" spans="1:18">
      <c r="A5" s="145" t="s">
        <v>109</v>
      </c>
      <c r="B5" s="93" t="s">
        <v>3</v>
      </c>
      <c r="C5" s="93" t="s">
        <v>133</v>
      </c>
      <c r="D5" s="94">
        <v>5211</v>
      </c>
      <c r="E5" s="94">
        <v>5136</v>
      </c>
      <c r="F5" s="94">
        <v>5059</v>
      </c>
      <c r="G5" s="94">
        <v>4910</v>
      </c>
      <c r="H5" s="94">
        <v>4410</v>
      </c>
      <c r="I5" s="94">
        <v>2295</v>
      </c>
      <c r="K5" s="93" t="s">
        <v>3</v>
      </c>
      <c r="L5" s="93" t="s">
        <v>133</v>
      </c>
      <c r="M5" s="94">
        <v>3343</v>
      </c>
      <c r="N5" s="94">
        <v>3578</v>
      </c>
      <c r="O5" s="94">
        <v>3208</v>
      </c>
      <c r="P5" s="94">
        <v>3490</v>
      </c>
      <c r="Q5" s="94">
        <v>2935</v>
      </c>
      <c r="R5" s="94">
        <v>2295</v>
      </c>
    </row>
    <row r="6" spans="1:18">
      <c r="A6" s="144"/>
      <c r="B6" s="93" t="s">
        <v>4</v>
      </c>
      <c r="C6" s="93" t="s">
        <v>134</v>
      </c>
      <c r="D6" s="94">
        <v>10036</v>
      </c>
      <c r="E6" s="94">
        <v>11502</v>
      </c>
      <c r="F6" s="94">
        <v>12886</v>
      </c>
      <c r="G6" s="94">
        <v>12346</v>
      </c>
      <c r="H6" s="94">
        <v>11894</v>
      </c>
      <c r="I6" s="94">
        <v>7862</v>
      </c>
      <c r="K6" s="93" t="s">
        <v>4</v>
      </c>
      <c r="L6" s="93" t="s">
        <v>134</v>
      </c>
      <c r="M6" s="94">
        <v>7000</v>
      </c>
      <c r="N6" s="94">
        <v>8512</v>
      </c>
      <c r="O6" s="94">
        <v>9407</v>
      </c>
      <c r="P6" s="94">
        <v>9591</v>
      </c>
      <c r="Q6" s="94">
        <v>9182</v>
      </c>
      <c r="R6" s="94">
        <v>7862</v>
      </c>
    </row>
    <row r="7" spans="1:18">
      <c r="A7" s="144"/>
      <c r="B7" s="93" t="s">
        <v>5</v>
      </c>
      <c r="C7" s="93" t="s">
        <v>135</v>
      </c>
      <c r="D7" s="94">
        <v>3028</v>
      </c>
      <c r="E7" s="94">
        <v>2703</v>
      </c>
      <c r="F7" s="94">
        <v>2747</v>
      </c>
      <c r="G7" s="94">
        <v>2986</v>
      </c>
      <c r="H7" s="94">
        <v>3114</v>
      </c>
      <c r="I7" s="94">
        <v>1746</v>
      </c>
      <c r="K7" s="93" t="s">
        <v>5</v>
      </c>
      <c r="L7" s="93" t="s">
        <v>135</v>
      </c>
      <c r="M7" s="94">
        <v>1991</v>
      </c>
      <c r="N7" s="94">
        <v>1805</v>
      </c>
      <c r="O7" s="94">
        <v>1848</v>
      </c>
      <c r="P7" s="94">
        <v>1997</v>
      </c>
      <c r="Q7" s="94">
        <v>2289</v>
      </c>
      <c r="R7" s="94">
        <v>1746</v>
      </c>
    </row>
    <row r="8" spans="1:18">
      <c r="A8" s="144"/>
      <c r="B8" s="93" t="s">
        <v>6</v>
      </c>
      <c r="C8" s="93" t="s">
        <v>136</v>
      </c>
      <c r="D8" s="94">
        <v>2597</v>
      </c>
      <c r="E8" s="94">
        <v>2338</v>
      </c>
      <c r="F8" s="94">
        <v>2705</v>
      </c>
      <c r="G8" s="94">
        <v>2833</v>
      </c>
      <c r="H8" s="94">
        <v>2249</v>
      </c>
      <c r="I8" s="94">
        <v>934</v>
      </c>
      <c r="K8" s="93" t="s">
        <v>6</v>
      </c>
      <c r="L8" s="93" t="s">
        <v>136</v>
      </c>
      <c r="M8" s="94">
        <v>1418</v>
      </c>
      <c r="N8" s="94">
        <v>1205</v>
      </c>
      <c r="O8" s="94">
        <v>1484</v>
      </c>
      <c r="P8" s="94">
        <v>1691</v>
      </c>
      <c r="Q8" s="94">
        <v>1349</v>
      </c>
      <c r="R8" s="94">
        <v>934</v>
      </c>
    </row>
    <row r="9" spans="1:18">
      <c r="A9" s="144"/>
      <c r="B9" s="93" t="s">
        <v>7</v>
      </c>
      <c r="C9" s="93" t="s">
        <v>137</v>
      </c>
      <c r="D9" s="94">
        <v>1497</v>
      </c>
      <c r="E9" s="94">
        <v>1992</v>
      </c>
      <c r="F9" s="94">
        <v>1682</v>
      </c>
      <c r="G9" s="94">
        <v>1562</v>
      </c>
      <c r="H9" s="94">
        <v>1441</v>
      </c>
      <c r="I9" s="94">
        <v>487</v>
      </c>
      <c r="K9" s="93" t="s">
        <v>7</v>
      </c>
      <c r="L9" s="93" t="s">
        <v>137</v>
      </c>
      <c r="M9" s="94">
        <v>875</v>
      </c>
      <c r="N9" s="94">
        <v>973</v>
      </c>
      <c r="O9" s="94">
        <v>1178</v>
      </c>
      <c r="P9" s="94">
        <v>940</v>
      </c>
      <c r="Q9" s="94">
        <v>940</v>
      </c>
      <c r="R9" s="94">
        <v>487</v>
      </c>
    </row>
    <row r="10" spans="1:18">
      <c r="A10" s="144"/>
      <c r="B10" s="93" t="s">
        <v>8</v>
      </c>
      <c r="C10" s="93" t="s">
        <v>138</v>
      </c>
      <c r="D10" s="94">
        <v>2182</v>
      </c>
      <c r="E10" s="94">
        <v>2552</v>
      </c>
      <c r="F10" s="94">
        <v>1914</v>
      </c>
      <c r="G10" s="94">
        <v>2237</v>
      </c>
      <c r="H10" s="94">
        <v>2241</v>
      </c>
      <c r="I10" s="94">
        <v>1286</v>
      </c>
      <c r="K10" s="93" t="s">
        <v>8</v>
      </c>
      <c r="L10" s="93" t="s">
        <v>138</v>
      </c>
      <c r="M10" s="94">
        <v>1216</v>
      </c>
      <c r="N10" s="94">
        <v>1784</v>
      </c>
      <c r="O10" s="94">
        <v>1277</v>
      </c>
      <c r="P10" s="94">
        <v>1412</v>
      </c>
      <c r="Q10" s="94">
        <v>1583</v>
      </c>
      <c r="R10" s="94">
        <v>1286</v>
      </c>
    </row>
    <row r="11" spans="1:18">
      <c r="A11" s="144"/>
      <c r="B11" s="93" t="s">
        <v>9</v>
      </c>
      <c r="C11" s="93" t="s">
        <v>139</v>
      </c>
      <c r="D11" s="94">
        <v>1192</v>
      </c>
      <c r="E11" s="94">
        <v>1358</v>
      </c>
      <c r="F11" s="94">
        <v>1443</v>
      </c>
      <c r="G11" s="94">
        <v>1383</v>
      </c>
      <c r="H11" s="94">
        <v>1291</v>
      </c>
      <c r="I11" s="94">
        <v>641</v>
      </c>
      <c r="K11" s="93" t="s">
        <v>9</v>
      </c>
      <c r="L11" s="93" t="s">
        <v>139</v>
      </c>
      <c r="M11" s="94">
        <v>538</v>
      </c>
      <c r="N11" s="94">
        <v>681</v>
      </c>
      <c r="O11" s="94">
        <v>1012</v>
      </c>
      <c r="P11" s="94">
        <v>978</v>
      </c>
      <c r="Q11" s="94">
        <v>829</v>
      </c>
      <c r="R11" s="94">
        <v>641</v>
      </c>
    </row>
    <row r="12" spans="1:18">
      <c r="A12" s="144"/>
      <c r="B12" s="93" t="s">
        <v>10</v>
      </c>
      <c r="C12" s="93" t="s">
        <v>140</v>
      </c>
      <c r="D12" s="94">
        <v>2466</v>
      </c>
      <c r="E12" s="94">
        <v>2448</v>
      </c>
      <c r="F12" s="94">
        <v>2948</v>
      </c>
      <c r="G12" s="94">
        <v>3034</v>
      </c>
      <c r="H12" s="94">
        <v>2555</v>
      </c>
      <c r="I12" s="94">
        <v>1586</v>
      </c>
      <c r="K12" s="93" t="s">
        <v>10</v>
      </c>
      <c r="L12" s="93" t="s">
        <v>140</v>
      </c>
      <c r="M12" s="94">
        <v>1503</v>
      </c>
      <c r="N12" s="94">
        <v>1674</v>
      </c>
      <c r="O12" s="94">
        <v>2285</v>
      </c>
      <c r="P12" s="94">
        <v>2120</v>
      </c>
      <c r="Q12" s="94">
        <v>1878</v>
      </c>
      <c r="R12" s="94">
        <v>1586</v>
      </c>
    </row>
    <row r="13" spans="1:18">
      <c r="A13" s="144"/>
      <c r="B13" s="93" t="s">
        <v>11</v>
      </c>
      <c r="C13" s="93" t="s">
        <v>141</v>
      </c>
      <c r="D13" s="94">
        <v>1085</v>
      </c>
      <c r="E13" s="94">
        <v>1823</v>
      </c>
      <c r="F13" s="94">
        <v>1728</v>
      </c>
      <c r="G13" s="94">
        <v>2140</v>
      </c>
      <c r="H13" s="94">
        <v>2255</v>
      </c>
      <c r="I13" s="94">
        <v>686</v>
      </c>
      <c r="K13" s="93" t="s">
        <v>11</v>
      </c>
      <c r="L13" s="93" t="s">
        <v>141</v>
      </c>
      <c r="M13" s="94">
        <v>740</v>
      </c>
      <c r="N13" s="94">
        <v>1155</v>
      </c>
      <c r="O13" s="94">
        <v>1201</v>
      </c>
      <c r="P13" s="94">
        <v>1315</v>
      </c>
      <c r="Q13" s="94">
        <v>1613</v>
      </c>
      <c r="R13" s="94">
        <v>686</v>
      </c>
    </row>
    <row r="14" spans="1:18">
      <c r="A14" s="144"/>
      <c r="B14" s="93" t="s">
        <v>12</v>
      </c>
      <c r="C14" s="93" t="s">
        <v>142</v>
      </c>
      <c r="D14" s="94">
        <v>2121</v>
      </c>
      <c r="E14" s="94">
        <v>1811</v>
      </c>
      <c r="F14" s="94">
        <v>2631</v>
      </c>
      <c r="G14" s="94">
        <v>2861</v>
      </c>
      <c r="H14" s="94">
        <v>3160</v>
      </c>
      <c r="I14" s="94">
        <v>1562</v>
      </c>
      <c r="K14" s="93" t="s">
        <v>12</v>
      </c>
      <c r="L14" s="93" t="s">
        <v>142</v>
      </c>
      <c r="M14" s="94">
        <v>975</v>
      </c>
      <c r="N14" s="94">
        <v>1027</v>
      </c>
      <c r="O14" s="94">
        <v>1598</v>
      </c>
      <c r="P14" s="94">
        <v>1876</v>
      </c>
      <c r="Q14" s="94">
        <v>2018</v>
      </c>
      <c r="R14" s="94">
        <v>1562</v>
      </c>
    </row>
    <row r="15" spans="1:18">
      <c r="A15" s="144"/>
      <c r="B15" s="93" t="s">
        <v>13</v>
      </c>
      <c r="C15" s="93" t="s">
        <v>143</v>
      </c>
      <c r="D15" s="94">
        <v>2171</v>
      </c>
      <c r="E15" s="94">
        <v>2332</v>
      </c>
      <c r="F15" s="94">
        <v>2794</v>
      </c>
      <c r="G15" s="94">
        <v>2661</v>
      </c>
      <c r="H15" s="94">
        <v>2440</v>
      </c>
      <c r="I15" s="94">
        <v>1177</v>
      </c>
      <c r="K15" s="93" t="s">
        <v>13</v>
      </c>
      <c r="L15" s="93" t="s">
        <v>143</v>
      </c>
      <c r="M15" s="94">
        <v>1265</v>
      </c>
      <c r="N15" s="94">
        <v>1317</v>
      </c>
      <c r="O15" s="94">
        <v>1909</v>
      </c>
      <c r="P15" s="94">
        <v>1709</v>
      </c>
      <c r="Q15" s="94">
        <v>1687</v>
      </c>
      <c r="R15" s="94">
        <v>1177</v>
      </c>
    </row>
    <row r="16" spans="1:18">
      <c r="A16" s="144"/>
      <c r="B16" s="93" t="s">
        <v>14</v>
      </c>
      <c r="C16" s="93" t="s">
        <v>144</v>
      </c>
      <c r="D16" s="94">
        <v>263</v>
      </c>
      <c r="E16" s="94">
        <v>436</v>
      </c>
      <c r="F16" s="94">
        <v>530</v>
      </c>
      <c r="G16" s="94">
        <v>549</v>
      </c>
      <c r="H16" s="94">
        <v>533</v>
      </c>
      <c r="I16" s="94">
        <v>173</v>
      </c>
      <c r="K16" s="93" t="s">
        <v>14</v>
      </c>
      <c r="L16" s="93" t="s">
        <v>144</v>
      </c>
      <c r="M16" s="94">
        <v>87</v>
      </c>
      <c r="N16" s="94">
        <v>263</v>
      </c>
      <c r="O16" s="94">
        <v>319</v>
      </c>
      <c r="P16" s="94">
        <v>388</v>
      </c>
      <c r="Q16" s="94">
        <v>366</v>
      </c>
      <c r="R16" s="94">
        <v>173</v>
      </c>
    </row>
    <row r="17" spans="1:18">
      <c r="A17" s="144"/>
      <c r="B17" s="93" t="s">
        <v>15</v>
      </c>
      <c r="C17" s="93" t="s">
        <v>145</v>
      </c>
      <c r="D17" s="94">
        <v>355</v>
      </c>
      <c r="E17" s="94">
        <v>294</v>
      </c>
      <c r="F17" s="94">
        <v>267</v>
      </c>
      <c r="G17" s="94">
        <v>248</v>
      </c>
      <c r="H17" s="94">
        <v>245</v>
      </c>
      <c r="I17" s="94">
        <v>73</v>
      </c>
      <c r="K17" s="93" t="s">
        <v>15</v>
      </c>
      <c r="L17" s="93" t="s">
        <v>145</v>
      </c>
      <c r="M17" s="94">
        <v>215</v>
      </c>
      <c r="N17" s="94">
        <v>197</v>
      </c>
      <c r="O17" s="94">
        <v>154</v>
      </c>
      <c r="P17" s="94">
        <v>168</v>
      </c>
      <c r="Q17" s="94">
        <v>142</v>
      </c>
      <c r="R17" s="94">
        <v>73</v>
      </c>
    </row>
    <row r="18" spans="1:18">
      <c r="A18" s="144"/>
      <c r="B18" s="93"/>
      <c r="C18" s="95"/>
      <c r="D18" s="69">
        <v>45683</v>
      </c>
      <c r="E18" s="69">
        <v>49315</v>
      </c>
      <c r="F18" s="69">
        <v>52206</v>
      </c>
      <c r="G18" s="69">
        <v>52023</v>
      </c>
      <c r="H18" s="69">
        <v>50788</v>
      </c>
      <c r="I18" s="69">
        <v>25841</v>
      </c>
      <c r="K18" s="93"/>
      <c r="L18" s="95"/>
      <c r="M18" s="69">
        <v>27085</v>
      </c>
      <c r="N18" s="69">
        <v>31223</v>
      </c>
      <c r="O18" s="69">
        <v>34505</v>
      </c>
      <c r="P18" s="69">
        <v>35198</v>
      </c>
      <c r="Q18" s="69">
        <v>34443</v>
      </c>
      <c r="R18" s="69">
        <v>25841</v>
      </c>
    </row>
    <row r="21" spans="1:18" ht="15" customHeight="1">
      <c r="A21" s="175" t="s">
        <v>105</v>
      </c>
      <c r="B21" s="92" t="s">
        <v>146</v>
      </c>
      <c r="C21" s="92" t="s">
        <v>147</v>
      </c>
      <c r="D21" s="92">
        <v>2021</v>
      </c>
      <c r="E21" s="92">
        <v>2022</v>
      </c>
      <c r="F21" s="92">
        <v>2023</v>
      </c>
      <c r="G21" s="92">
        <v>2024</v>
      </c>
      <c r="H21" s="92">
        <v>2025</v>
      </c>
      <c r="I21" s="92">
        <v>2026</v>
      </c>
      <c r="K21" s="92" t="s">
        <v>146</v>
      </c>
      <c r="L21" s="92" t="s">
        <v>147</v>
      </c>
      <c r="M21" s="92">
        <v>2021</v>
      </c>
      <c r="N21" s="92">
        <v>2022</v>
      </c>
      <c r="O21" s="92">
        <v>2023</v>
      </c>
      <c r="P21" s="92">
        <v>2024</v>
      </c>
      <c r="Q21" s="92">
        <v>2025</v>
      </c>
      <c r="R21" s="92">
        <v>2026</v>
      </c>
    </row>
    <row r="22" spans="1:18" ht="15" customHeight="1">
      <c r="A22" s="175"/>
      <c r="B22" s="93" t="s">
        <v>0</v>
      </c>
      <c r="C22" s="93" t="s">
        <v>131</v>
      </c>
      <c r="D22" s="94">
        <v>469</v>
      </c>
      <c r="E22" s="94">
        <v>744</v>
      </c>
      <c r="F22" s="94">
        <v>810</v>
      </c>
      <c r="G22" s="94">
        <v>837</v>
      </c>
      <c r="H22" s="94">
        <v>884</v>
      </c>
      <c r="I22" s="94">
        <v>295</v>
      </c>
      <c r="K22" s="93" t="s">
        <v>0</v>
      </c>
      <c r="L22" s="93" t="s">
        <v>131</v>
      </c>
      <c r="M22" s="94">
        <v>232</v>
      </c>
      <c r="N22" s="94">
        <v>447</v>
      </c>
      <c r="O22" s="94">
        <v>319</v>
      </c>
      <c r="P22" s="94">
        <v>427</v>
      </c>
      <c r="Q22" s="94">
        <v>299</v>
      </c>
      <c r="R22" s="94">
        <v>295</v>
      </c>
    </row>
    <row r="23" spans="1:18" ht="15" customHeight="1">
      <c r="A23" s="144"/>
      <c r="B23" s="93" t="s">
        <v>1</v>
      </c>
      <c r="C23" s="93" t="s">
        <v>130</v>
      </c>
      <c r="D23" s="94">
        <v>3751</v>
      </c>
      <c r="E23" s="94">
        <v>4102</v>
      </c>
      <c r="F23" s="94">
        <v>4795</v>
      </c>
      <c r="G23" s="94">
        <v>4443</v>
      </c>
      <c r="H23" s="94">
        <v>4438</v>
      </c>
      <c r="I23" s="94">
        <v>1208</v>
      </c>
      <c r="K23" s="93" t="s">
        <v>1</v>
      </c>
      <c r="L23" s="93" t="s">
        <v>130</v>
      </c>
      <c r="M23" s="94">
        <v>1015</v>
      </c>
      <c r="N23" s="94">
        <v>2000</v>
      </c>
      <c r="O23" s="94">
        <v>2794</v>
      </c>
      <c r="P23" s="94">
        <v>2476</v>
      </c>
      <c r="Q23" s="94">
        <v>2268</v>
      </c>
      <c r="R23" s="94">
        <v>1208</v>
      </c>
    </row>
    <row r="24" spans="1:18" ht="15" customHeight="1">
      <c r="A24" s="145"/>
      <c r="B24" s="93" t="s">
        <v>2</v>
      </c>
      <c r="C24" s="93" t="s">
        <v>132</v>
      </c>
      <c r="D24" s="94">
        <v>328</v>
      </c>
      <c r="E24" s="94">
        <v>843</v>
      </c>
      <c r="F24" s="94">
        <v>858</v>
      </c>
      <c r="G24" s="94">
        <v>1051</v>
      </c>
      <c r="H24" s="94">
        <v>1182</v>
      </c>
      <c r="I24" s="94">
        <v>399</v>
      </c>
      <c r="K24" s="93" t="s">
        <v>2</v>
      </c>
      <c r="L24" s="93" t="s">
        <v>132</v>
      </c>
      <c r="M24" s="94">
        <v>194</v>
      </c>
      <c r="N24" s="94">
        <v>512</v>
      </c>
      <c r="O24" s="94">
        <v>487</v>
      </c>
      <c r="P24" s="94">
        <v>546</v>
      </c>
      <c r="Q24" s="94">
        <v>824</v>
      </c>
      <c r="R24" s="94">
        <v>399</v>
      </c>
    </row>
    <row r="25" spans="1:18">
      <c r="A25" s="145"/>
      <c r="B25" s="93" t="s">
        <v>3</v>
      </c>
      <c r="C25" s="93" t="s">
        <v>133</v>
      </c>
      <c r="D25" s="94">
        <v>1498</v>
      </c>
      <c r="E25" s="94">
        <v>1708</v>
      </c>
      <c r="F25" s="94">
        <v>2294</v>
      </c>
      <c r="G25" s="94">
        <v>2440</v>
      </c>
      <c r="H25" s="94">
        <v>1603</v>
      </c>
      <c r="I25" s="94">
        <v>1016</v>
      </c>
      <c r="K25" s="93" t="s">
        <v>3</v>
      </c>
      <c r="L25" s="93" t="s">
        <v>133</v>
      </c>
      <c r="M25" s="94">
        <v>1038</v>
      </c>
      <c r="N25" s="94">
        <v>1158</v>
      </c>
      <c r="O25" s="94">
        <v>1647</v>
      </c>
      <c r="P25" s="94">
        <v>1952</v>
      </c>
      <c r="Q25" s="94">
        <v>839</v>
      </c>
      <c r="R25" s="94">
        <v>1016</v>
      </c>
    </row>
    <row r="26" spans="1:18">
      <c r="A26" s="144"/>
      <c r="B26" s="93" t="s">
        <v>4</v>
      </c>
      <c r="C26" s="93" t="s">
        <v>134</v>
      </c>
      <c r="D26" s="94">
        <v>5278</v>
      </c>
      <c r="E26" s="94">
        <v>6994</v>
      </c>
      <c r="F26" s="94">
        <v>7298</v>
      </c>
      <c r="G26" s="94">
        <v>6533</v>
      </c>
      <c r="H26" s="94">
        <v>7255</v>
      </c>
      <c r="I26" s="94">
        <v>4380</v>
      </c>
      <c r="K26" s="93" t="s">
        <v>4</v>
      </c>
      <c r="L26" s="93" t="s">
        <v>134</v>
      </c>
      <c r="M26" s="94">
        <v>3423</v>
      </c>
      <c r="N26" s="94">
        <v>5759</v>
      </c>
      <c r="O26" s="94">
        <v>5720</v>
      </c>
      <c r="P26" s="94">
        <v>5385</v>
      </c>
      <c r="Q26" s="94">
        <v>6274</v>
      </c>
      <c r="R26" s="94">
        <v>4380</v>
      </c>
    </row>
    <row r="27" spans="1:18">
      <c r="A27" s="144"/>
      <c r="B27" s="93" t="s">
        <v>5</v>
      </c>
      <c r="C27" s="93" t="s">
        <v>135</v>
      </c>
      <c r="D27" s="94">
        <v>1100</v>
      </c>
      <c r="E27" s="94">
        <v>803</v>
      </c>
      <c r="F27" s="94">
        <v>1005</v>
      </c>
      <c r="G27" s="94">
        <v>723</v>
      </c>
      <c r="H27" s="94">
        <v>873</v>
      </c>
      <c r="I27" s="94">
        <v>683</v>
      </c>
      <c r="K27" s="93" t="s">
        <v>5</v>
      </c>
      <c r="L27" s="93" t="s">
        <v>135</v>
      </c>
      <c r="M27" s="94">
        <v>851</v>
      </c>
      <c r="N27" s="94">
        <v>531</v>
      </c>
      <c r="O27" s="94">
        <v>803</v>
      </c>
      <c r="P27" s="94">
        <v>477</v>
      </c>
      <c r="Q27" s="94">
        <v>676</v>
      </c>
      <c r="R27" s="94">
        <v>683</v>
      </c>
    </row>
    <row r="28" spans="1:18">
      <c r="A28" s="144"/>
      <c r="B28" s="93" t="s">
        <v>6</v>
      </c>
      <c r="C28" s="93" t="s">
        <v>136</v>
      </c>
      <c r="D28" s="94">
        <v>1021</v>
      </c>
      <c r="E28" s="94">
        <v>1451</v>
      </c>
      <c r="F28" s="94">
        <v>2394</v>
      </c>
      <c r="G28" s="94">
        <v>4495</v>
      </c>
      <c r="H28" s="94">
        <v>6785</v>
      </c>
      <c r="I28" s="94">
        <v>820</v>
      </c>
      <c r="K28" s="93" t="s">
        <v>6</v>
      </c>
      <c r="L28" s="93" t="s">
        <v>136</v>
      </c>
      <c r="M28" s="94">
        <v>621</v>
      </c>
      <c r="N28" s="94">
        <v>925</v>
      </c>
      <c r="O28" s="94">
        <v>867</v>
      </c>
      <c r="P28" s="94">
        <v>2608</v>
      </c>
      <c r="Q28" s="94">
        <v>3561</v>
      </c>
      <c r="R28" s="94">
        <v>820</v>
      </c>
    </row>
    <row r="29" spans="1:18">
      <c r="A29" s="144"/>
      <c r="B29" s="93" t="s">
        <v>7</v>
      </c>
      <c r="C29" s="93" t="s">
        <v>137</v>
      </c>
      <c r="D29" s="94">
        <v>792</v>
      </c>
      <c r="E29" s="94">
        <v>1500</v>
      </c>
      <c r="F29" s="94">
        <v>929</v>
      </c>
      <c r="G29" s="94">
        <v>1073</v>
      </c>
      <c r="H29" s="94">
        <v>667</v>
      </c>
      <c r="I29" s="94">
        <v>531</v>
      </c>
      <c r="K29" s="93" t="s">
        <v>7</v>
      </c>
      <c r="L29" s="93" t="s">
        <v>137</v>
      </c>
      <c r="M29" s="94">
        <v>458</v>
      </c>
      <c r="N29" s="94">
        <v>916</v>
      </c>
      <c r="O29" s="94">
        <v>319</v>
      </c>
      <c r="P29" s="94">
        <v>685</v>
      </c>
      <c r="Q29" s="94">
        <v>431</v>
      </c>
      <c r="R29" s="94">
        <v>531</v>
      </c>
    </row>
    <row r="30" spans="1:18">
      <c r="A30" s="144"/>
      <c r="B30" s="93" t="s">
        <v>8</v>
      </c>
      <c r="C30" s="93" t="s">
        <v>138</v>
      </c>
      <c r="D30" s="94">
        <v>737</v>
      </c>
      <c r="E30" s="94">
        <v>1089</v>
      </c>
      <c r="F30" s="94">
        <v>1643</v>
      </c>
      <c r="G30" s="94">
        <v>1535</v>
      </c>
      <c r="H30" s="94">
        <v>1948</v>
      </c>
      <c r="I30" s="94">
        <v>242</v>
      </c>
      <c r="K30" s="93" t="s">
        <v>8</v>
      </c>
      <c r="L30" s="93" t="s">
        <v>138</v>
      </c>
      <c r="M30" s="94">
        <v>489</v>
      </c>
      <c r="N30" s="94">
        <v>837</v>
      </c>
      <c r="O30" s="94">
        <v>1227</v>
      </c>
      <c r="P30" s="94">
        <v>1298</v>
      </c>
      <c r="Q30" s="94">
        <v>1703</v>
      </c>
      <c r="R30" s="94">
        <v>242</v>
      </c>
    </row>
    <row r="31" spans="1:18">
      <c r="A31" s="144"/>
      <c r="B31" s="93" t="s">
        <v>9</v>
      </c>
      <c r="C31" s="93" t="s">
        <v>139</v>
      </c>
      <c r="D31" s="94">
        <v>142</v>
      </c>
      <c r="E31" s="94">
        <v>202</v>
      </c>
      <c r="F31" s="94">
        <v>212</v>
      </c>
      <c r="G31" s="94">
        <v>227</v>
      </c>
      <c r="H31" s="94">
        <v>335</v>
      </c>
      <c r="I31" s="94">
        <v>246</v>
      </c>
      <c r="K31" s="93" t="s">
        <v>9</v>
      </c>
      <c r="L31" s="93" t="s">
        <v>139</v>
      </c>
      <c r="M31" s="94">
        <v>21</v>
      </c>
      <c r="N31" s="94">
        <v>58</v>
      </c>
      <c r="O31" s="94">
        <v>69</v>
      </c>
      <c r="P31" s="94">
        <v>121</v>
      </c>
      <c r="Q31" s="94">
        <v>98</v>
      </c>
      <c r="R31" s="94">
        <v>246</v>
      </c>
    </row>
    <row r="32" spans="1:18">
      <c r="A32" s="144"/>
      <c r="B32" s="93" t="s">
        <v>10</v>
      </c>
      <c r="C32" s="93" t="s">
        <v>140</v>
      </c>
      <c r="D32" s="94">
        <v>1151</v>
      </c>
      <c r="E32" s="94">
        <v>1430</v>
      </c>
      <c r="F32" s="94">
        <v>1621</v>
      </c>
      <c r="G32" s="94">
        <v>1929</v>
      </c>
      <c r="H32" s="94">
        <v>2484</v>
      </c>
      <c r="I32" s="94">
        <v>1520</v>
      </c>
      <c r="K32" s="93" t="s">
        <v>10</v>
      </c>
      <c r="L32" s="93" t="s">
        <v>140</v>
      </c>
      <c r="M32" s="94">
        <v>859</v>
      </c>
      <c r="N32" s="94">
        <v>1170</v>
      </c>
      <c r="O32" s="94">
        <v>1417</v>
      </c>
      <c r="P32" s="94">
        <v>1161</v>
      </c>
      <c r="Q32" s="94">
        <v>1655</v>
      </c>
      <c r="R32" s="94">
        <v>1520</v>
      </c>
    </row>
    <row r="33" spans="1:18">
      <c r="A33" s="144"/>
      <c r="B33" s="93" t="s">
        <v>11</v>
      </c>
      <c r="C33" s="93" t="s">
        <v>141</v>
      </c>
      <c r="D33" s="94">
        <v>293</v>
      </c>
      <c r="E33" s="94">
        <v>349</v>
      </c>
      <c r="F33" s="94">
        <v>745</v>
      </c>
      <c r="G33" s="94">
        <v>424</v>
      </c>
      <c r="H33" s="94">
        <v>1318</v>
      </c>
      <c r="I33" s="94">
        <v>609</v>
      </c>
      <c r="K33" s="93" t="s">
        <v>11</v>
      </c>
      <c r="L33" s="93" t="s">
        <v>141</v>
      </c>
      <c r="M33" s="94">
        <v>161</v>
      </c>
      <c r="N33" s="94">
        <v>208</v>
      </c>
      <c r="O33" s="94">
        <v>274</v>
      </c>
      <c r="P33" s="94">
        <v>281</v>
      </c>
      <c r="Q33" s="94">
        <v>425</v>
      </c>
      <c r="R33" s="94">
        <v>609</v>
      </c>
    </row>
    <row r="34" spans="1:18">
      <c r="A34" s="144"/>
      <c r="B34" s="93" t="s">
        <v>12</v>
      </c>
      <c r="C34" s="93" t="s">
        <v>142</v>
      </c>
      <c r="D34" s="94">
        <v>562</v>
      </c>
      <c r="E34" s="94">
        <v>1802</v>
      </c>
      <c r="F34" s="94">
        <v>1133</v>
      </c>
      <c r="G34" s="94">
        <v>1274</v>
      </c>
      <c r="H34" s="94">
        <v>982</v>
      </c>
      <c r="I34" s="94">
        <v>567</v>
      </c>
      <c r="K34" s="93" t="s">
        <v>12</v>
      </c>
      <c r="L34" s="93" t="s">
        <v>142</v>
      </c>
      <c r="M34" s="94">
        <v>178</v>
      </c>
      <c r="N34" s="94">
        <v>1149</v>
      </c>
      <c r="O34" s="94">
        <v>817</v>
      </c>
      <c r="P34" s="94">
        <v>750</v>
      </c>
      <c r="Q34" s="94">
        <v>683</v>
      </c>
      <c r="R34" s="94">
        <v>567</v>
      </c>
    </row>
    <row r="35" spans="1:18">
      <c r="A35" s="144"/>
      <c r="B35" s="93" t="s">
        <v>13</v>
      </c>
      <c r="C35" s="93" t="s">
        <v>143</v>
      </c>
      <c r="D35" s="94">
        <v>1293</v>
      </c>
      <c r="E35" s="94">
        <v>1099</v>
      </c>
      <c r="F35" s="94">
        <v>1511</v>
      </c>
      <c r="G35" s="94">
        <v>1431</v>
      </c>
      <c r="H35" s="94">
        <v>1456</v>
      </c>
      <c r="I35" s="94">
        <v>256</v>
      </c>
      <c r="K35" s="93" t="s">
        <v>13</v>
      </c>
      <c r="L35" s="93" t="s">
        <v>143</v>
      </c>
      <c r="M35" s="94">
        <v>980</v>
      </c>
      <c r="N35" s="94">
        <v>847</v>
      </c>
      <c r="O35" s="94">
        <v>987</v>
      </c>
      <c r="P35" s="94">
        <v>993</v>
      </c>
      <c r="Q35" s="94">
        <v>832</v>
      </c>
      <c r="R35" s="94">
        <v>256</v>
      </c>
    </row>
    <row r="36" spans="1:18">
      <c r="A36" s="144"/>
      <c r="B36" s="93" t="s">
        <v>14</v>
      </c>
      <c r="C36" s="93" t="s">
        <v>144</v>
      </c>
      <c r="D36" s="94">
        <v>21</v>
      </c>
      <c r="E36" s="94">
        <v>13</v>
      </c>
      <c r="F36" s="94">
        <v>35</v>
      </c>
      <c r="G36" s="94">
        <v>44</v>
      </c>
      <c r="H36" s="94">
        <v>52</v>
      </c>
      <c r="I36" s="94">
        <v>0</v>
      </c>
      <c r="K36" s="93" t="s">
        <v>14</v>
      </c>
      <c r="L36" s="93" t="s">
        <v>144</v>
      </c>
      <c r="M36" s="94">
        <v>0</v>
      </c>
      <c r="N36" s="94">
        <v>8</v>
      </c>
      <c r="O36" s="94">
        <v>31</v>
      </c>
      <c r="P36" s="94">
        <v>3</v>
      </c>
      <c r="Q36" s="94">
        <v>51</v>
      </c>
      <c r="R36" s="94">
        <v>0</v>
      </c>
    </row>
    <row r="37" spans="1:18">
      <c r="A37" s="144"/>
      <c r="B37" s="93" t="s">
        <v>15</v>
      </c>
      <c r="C37" s="93" t="s">
        <v>145</v>
      </c>
      <c r="D37" s="94">
        <v>2</v>
      </c>
      <c r="E37" s="94">
        <v>23</v>
      </c>
      <c r="F37" s="94">
        <v>45</v>
      </c>
      <c r="G37" s="94">
        <v>27</v>
      </c>
      <c r="H37" s="94">
        <v>30</v>
      </c>
      <c r="I37" s="94">
        <v>11</v>
      </c>
      <c r="K37" s="93" t="s">
        <v>15</v>
      </c>
      <c r="L37" s="93" t="s">
        <v>145</v>
      </c>
      <c r="M37" s="94">
        <v>0</v>
      </c>
      <c r="N37" s="94">
        <v>18</v>
      </c>
      <c r="O37" s="94">
        <v>9</v>
      </c>
      <c r="P37" s="94">
        <v>6</v>
      </c>
      <c r="Q37" s="94">
        <v>9</v>
      </c>
      <c r="R37" s="94">
        <v>11</v>
      </c>
    </row>
    <row r="38" spans="1:18">
      <c r="A38" s="144"/>
      <c r="B38" s="93"/>
      <c r="C38" s="95"/>
      <c r="D38" s="18">
        <v>18438</v>
      </c>
      <c r="E38" s="18">
        <v>24152</v>
      </c>
      <c r="F38" s="18">
        <v>27328</v>
      </c>
      <c r="G38" s="18">
        <v>28486</v>
      </c>
      <c r="H38" s="18">
        <v>32292</v>
      </c>
      <c r="I38" s="18">
        <v>12783</v>
      </c>
      <c r="K38" s="93"/>
      <c r="L38" s="95"/>
      <c r="M38" s="18">
        <v>10520</v>
      </c>
      <c r="N38" s="18">
        <v>16543</v>
      </c>
      <c r="O38" s="18">
        <v>17787</v>
      </c>
      <c r="P38" s="18">
        <v>19169</v>
      </c>
      <c r="Q38" s="18">
        <v>20628</v>
      </c>
      <c r="R38" s="18">
        <v>12783</v>
      </c>
    </row>
    <row r="41" spans="1:18">
      <c r="A41" s="173" t="s">
        <v>49</v>
      </c>
      <c r="B41" s="2" t="s">
        <v>146</v>
      </c>
      <c r="C41" s="2" t="s">
        <v>147</v>
      </c>
      <c r="D41" s="2">
        <v>2021</v>
      </c>
      <c r="E41" s="2">
        <v>2022</v>
      </c>
      <c r="F41" s="2">
        <v>2023</v>
      </c>
      <c r="G41" s="2">
        <v>2024</v>
      </c>
      <c r="H41" s="2">
        <v>2025</v>
      </c>
      <c r="I41" s="2">
        <v>2026</v>
      </c>
      <c r="K41" s="2" t="s">
        <v>146</v>
      </c>
      <c r="L41" s="2" t="s">
        <v>147</v>
      </c>
      <c r="M41" s="2">
        <v>2021</v>
      </c>
      <c r="N41" s="2">
        <v>2022</v>
      </c>
      <c r="O41" s="2">
        <v>2023</v>
      </c>
      <c r="P41" s="2">
        <v>2024</v>
      </c>
      <c r="Q41" s="2">
        <v>2025</v>
      </c>
      <c r="R41" s="2">
        <v>2026</v>
      </c>
    </row>
    <row r="42" spans="1:18">
      <c r="A42" s="173"/>
      <c r="B42" s="34" t="s">
        <v>0</v>
      </c>
      <c r="C42" s="34" t="s">
        <v>131</v>
      </c>
      <c r="D42" s="29">
        <v>1004</v>
      </c>
      <c r="E42" s="29">
        <v>1723</v>
      </c>
      <c r="F42" s="29">
        <v>2151</v>
      </c>
      <c r="G42" s="29">
        <v>2077</v>
      </c>
      <c r="H42" s="29">
        <v>1604</v>
      </c>
      <c r="I42" s="29">
        <v>710</v>
      </c>
      <c r="K42" s="34" t="s">
        <v>0</v>
      </c>
      <c r="L42" s="34" t="s">
        <v>131</v>
      </c>
      <c r="M42" s="29">
        <v>349</v>
      </c>
      <c r="N42" s="29">
        <v>829</v>
      </c>
      <c r="O42" s="29">
        <v>1003</v>
      </c>
      <c r="P42" s="29">
        <v>1200</v>
      </c>
      <c r="Q42" s="29">
        <v>793</v>
      </c>
      <c r="R42" s="29">
        <v>710</v>
      </c>
    </row>
    <row r="43" spans="1:18" ht="15" customHeight="1">
      <c r="A43" s="128"/>
      <c r="B43" s="34" t="s">
        <v>1</v>
      </c>
      <c r="C43" s="34" t="s">
        <v>130</v>
      </c>
      <c r="D43" s="29">
        <v>12756</v>
      </c>
      <c r="E43" s="29">
        <v>13976</v>
      </c>
      <c r="F43" s="29">
        <v>11874</v>
      </c>
      <c r="G43" s="29">
        <v>12291</v>
      </c>
      <c r="H43" s="29">
        <v>12768</v>
      </c>
      <c r="I43" s="29">
        <v>5188</v>
      </c>
      <c r="K43" s="34" t="s">
        <v>1</v>
      </c>
      <c r="L43" s="34" t="s">
        <v>130</v>
      </c>
      <c r="M43" s="29">
        <v>5195</v>
      </c>
      <c r="N43" s="29">
        <v>7610</v>
      </c>
      <c r="O43" s="29">
        <v>6463</v>
      </c>
      <c r="P43" s="29">
        <v>6519</v>
      </c>
      <c r="Q43" s="29">
        <v>7158</v>
      </c>
      <c r="R43" s="29">
        <v>5188</v>
      </c>
    </row>
    <row r="44" spans="1:18" ht="15" customHeight="1">
      <c r="A44" s="140" t="s">
        <v>101</v>
      </c>
      <c r="B44" s="34" t="s">
        <v>2</v>
      </c>
      <c r="C44" s="34" t="s">
        <v>132</v>
      </c>
      <c r="D44" s="29">
        <v>2959</v>
      </c>
      <c r="E44" s="29">
        <v>3669</v>
      </c>
      <c r="F44" s="29">
        <v>3562</v>
      </c>
      <c r="G44" s="29">
        <v>4288</v>
      </c>
      <c r="H44" s="29">
        <v>5657</v>
      </c>
      <c r="I44" s="29">
        <v>2669</v>
      </c>
      <c r="K44" s="34" t="s">
        <v>2</v>
      </c>
      <c r="L44" s="34" t="s">
        <v>132</v>
      </c>
      <c r="M44" s="29">
        <v>1314</v>
      </c>
      <c r="N44" s="29">
        <v>1719</v>
      </c>
      <c r="O44" s="29">
        <v>2046</v>
      </c>
      <c r="P44" s="29">
        <v>2110</v>
      </c>
      <c r="Q44" s="29">
        <v>2804</v>
      </c>
      <c r="R44" s="29">
        <v>2669</v>
      </c>
    </row>
    <row r="45" spans="1:18">
      <c r="A45" s="140" t="s">
        <v>106</v>
      </c>
      <c r="B45" s="34" t="s">
        <v>3</v>
      </c>
      <c r="C45" s="34" t="s">
        <v>133</v>
      </c>
      <c r="D45" s="29">
        <v>4924</v>
      </c>
      <c r="E45" s="29">
        <v>5882</v>
      </c>
      <c r="F45" s="29">
        <v>6327</v>
      </c>
      <c r="G45" s="29">
        <v>4969</v>
      </c>
      <c r="H45" s="29">
        <v>5066</v>
      </c>
      <c r="I45" s="29">
        <v>1729</v>
      </c>
      <c r="K45" s="34" t="s">
        <v>3</v>
      </c>
      <c r="L45" s="34" t="s">
        <v>133</v>
      </c>
      <c r="M45" s="29">
        <v>2216</v>
      </c>
      <c r="N45" s="29">
        <v>2860</v>
      </c>
      <c r="O45" s="29">
        <v>3374</v>
      </c>
      <c r="P45" s="29">
        <v>2807</v>
      </c>
      <c r="Q45" s="29">
        <v>2900</v>
      </c>
      <c r="R45" s="29">
        <v>1729</v>
      </c>
    </row>
    <row r="46" spans="1:18">
      <c r="A46" s="128"/>
      <c r="B46" s="34" t="s">
        <v>4</v>
      </c>
      <c r="C46" s="34" t="s">
        <v>134</v>
      </c>
      <c r="D46" s="29">
        <v>17604</v>
      </c>
      <c r="E46" s="29">
        <v>17109</v>
      </c>
      <c r="F46" s="29">
        <v>16273</v>
      </c>
      <c r="G46" s="29">
        <v>16678</v>
      </c>
      <c r="H46" s="29">
        <v>14874</v>
      </c>
      <c r="I46" s="29">
        <v>7073</v>
      </c>
      <c r="K46" s="34" t="s">
        <v>4</v>
      </c>
      <c r="L46" s="34" t="s">
        <v>134</v>
      </c>
      <c r="M46" s="29">
        <v>8880</v>
      </c>
      <c r="N46" s="29">
        <v>9305</v>
      </c>
      <c r="O46" s="29">
        <v>9074</v>
      </c>
      <c r="P46" s="29">
        <v>8966</v>
      </c>
      <c r="Q46" s="29">
        <v>8439</v>
      </c>
      <c r="R46" s="29">
        <v>7073</v>
      </c>
    </row>
    <row r="47" spans="1:18">
      <c r="A47" s="128"/>
      <c r="B47" s="34" t="s">
        <v>5</v>
      </c>
      <c r="C47" s="34" t="s">
        <v>135</v>
      </c>
      <c r="D47" s="29">
        <v>3530</v>
      </c>
      <c r="E47" s="29">
        <v>3406</v>
      </c>
      <c r="F47" s="29">
        <v>4400</v>
      </c>
      <c r="G47" s="29">
        <v>4427</v>
      </c>
      <c r="H47" s="29">
        <v>4786</v>
      </c>
      <c r="I47" s="29">
        <v>2305</v>
      </c>
      <c r="K47" s="34" t="s">
        <v>5</v>
      </c>
      <c r="L47" s="34" t="s">
        <v>135</v>
      </c>
      <c r="M47" s="29">
        <v>1901</v>
      </c>
      <c r="N47" s="29">
        <v>1642</v>
      </c>
      <c r="O47" s="29">
        <v>2688</v>
      </c>
      <c r="P47" s="29">
        <v>2319</v>
      </c>
      <c r="Q47" s="29">
        <v>2513</v>
      </c>
      <c r="R47" s="29">
        <v>2305</v>
      </c>
    </row>
    <row r="48" spans="1:18">
      <c r="A48" s="128"/>
      <c r="B48" s="34" t="s">
        <v>6</v>
      </c>
      <c r="C48" s="34" t="s">
        <v>136</v>
      </c>
      <c r="D48" s="29">
        <v>1970</v>
      </c>
      <c r="E48" s="29">
        <v>2705</v>
      </c>
      <c r="F48" s="29">
        <v>5671</v>
      </c>
      <c r="G48" s="29">
        <v>7202</v>
      </c>
      <c r="H48" s="29">
        <v>7367</v>
      </c>
      <c r="I48" s="29">
        <v>3118</v>
      </c>
      <c r="K48" s="34" t="s">
        <v>6</v>
      </c>
      <c r="L48" s="34" t="s">
        <v>136</v>
      </c>
      <c r="M48" s="29">
        <v>756</v>
      </c>
      <c r="N48" s="29">
        <v>1311</v>
      </c>
      <c r="O48" s="29">
        <v>2653</v>
      </c>
      <c r="P48" s="29">
        <v>4201</v>
      </c>
      <c r="Q48" s="29">
        <v>3861</v>
      </c>
      <c r="R48" s="29">
        <v>3118</v>
      </c>
    </row>
    <row r="49" spans="1:18">
      <c r="A49" s="128"/>
      <c r="B49" s="34" t="s">
        <v>7</v>
      </c>
      <c r="C49" s="34" t="s">
        <v>137</v>
      </c>
      <c r="D49" s="29">
        <v>1000</v>
      </c>
      <c r="E49" s="29">
        <v>1691</v>
      </c>
      <c r="F49" s="29">
        <v>2261</v>
      </c>
      <c r="G49" s="29">
        <v>2637</v>
      </c>
      <c r="H49" s="29">
        <v>2599</v>
      </c>
      <c r="I49" s="29">
        <v>889</v>
      </c>
      <c r="K49" s="34" t="s">
        <v>7</v>
      </c>
      <c r="L49" s="34" t="s">
        <v>137</v>
      </c>
      <c r="M49" s="29">
        <v>404</v>
      </c>
      <c r="N49" s="29">
        <v>870</v>
      </c>
      <c r="O49" s="29">
        <v>1131</v>
      </c>
      <c r="P49" s="29">
        <v>1106</v>
      </c>
      <c r="Q49" s="29">
        <v>1594</v>
      </c>
      <c r="R49" s="29">
        <v>889</v>
      </c>
    </row>
    <row r="50" spans="1:18">
      <c r="A50" s="128"/>
      <c r="B50" s="34" t="s">
        <v>8</v>
      </c>
      <c r="C50" s="34" t="s">
        <v>138</v>
      </c>
      <c r="D50" s="29">
        <v>1852</v>
      </c>
      <c r="E50" s="29">
        <v>1501</v>
      </c>
      <c r="F50" s="29">
        <v>1772</v>
      </c>
      <c r="G50" s="29">
        <v>2120</v>
      </c>
      <c r="H50" s="29">
        <v>1877</v>
      </c>
      <c r="I50" s="29">
        <v>856</v>
      </c>
      <c r="K50" s="34" t="s">
        <v>8</v>
      </c>
      <c r="L50" s="34" t="s">
        <v>138</v>
      </c>
      <c r="M50" s="29">
        <v>1129</v>
      </c>
      <c r="N50" s="29">
        <v>858</v>
      </c>
      <c r="O50" s="29">
        <v>845</v>
      </c>
      <c r="P50" s="29">
        <v>1054</v>
      </c>
      <c r="Q50" s="29">
        <v>1178</v>
      </c>
      <c r="R50" s="29">
        <v>856</v>
      </c>
    </row>
    <row r="51" spans="1:18">
      <c r="A51" s="128"/>
      <c r="B51" s="34" t="s">
        <v>9</v>
      </c>
      <c r="C51" s="34" t="s">
        <v>139</v>
      </c>
      <c r="D51" s="29">
        <v>300</v>
      </c>
      <c r="E51" s="29">
        <v>498</v>
      </c>
      <c r="F51" s="29">
        <v>463</v>
      </c>
      <c r="G51" s="29">
        <v>490</v>
      </c>
      <c r="H51" s="29">
        <v>704</v>
      </c>
      <c r="I51" s="29">
        <v>574</v>
      </c>
      <c r="K51" s="34" t="s">
        <v>9</v>
      </c>
      <c r="L51" s="34" t="s">
        <v>139</v>
      </c>
      <c r="M51" s="29">
        <v>100</v>
      </c>
      <c r="N51" s="29">
        <v>285</v>
      </c>
      <c r="O51" s="29">
        <v>228</v>
      </c>
      <c r="P51" s="29">
        <v>330</v>
      </c>
      <c r="Q51" s="29">
        <v>268</v>
      </c>
      <c r="R51" s="29">
        <v>574</v>
      </c>
    </row>
    <row r="52" spans="1:18">
      <c r="A52" s="128"/>
      <c r="B52" s="34" t="s">
        <v>10</v>
      </c>
      <c r="C52" s="34" t="s">
        <v>140</v>
      </c>
      <c r="D52" s="29">
        <v>1490</v>
      </c>
      <c r="E52" s="29">
        <v>1624</v>
      </c>
      <c r="F52" s="29">
        <v>2360</v>
      </c>
      <c r="G52" s="29">
        <v>2822</v>
      </c>
      <c r="H52" s="29">
        <v>2581</v>
      </c>
      <c r="I52" s="29">
        <v>877</v>
      </c>
      <c r="K52" s="34" t="s">
        <v>10</v>
      </c>
      <c r="L52" s="34" t="s">
        <v>140</v>
      </c>
      <c r="M52" s="29">
        <v>745</v>
      </c>
      <c r="N52" s="29">
        <v>897</v>
      </c>
      <c r="O52" s="29">
        <v>1365</v>
      </c>
      <c r="P52" s="29">
        <v>1423</v>
      </c>
      <c r="Q52" s="29">
        <v>1425</v>
      </c>
      <c r="R52" s="29">
        <v>877</v>
      </c>
    </row>
    <row r="53" spans="1:18">
      <c r="A53" s="128"/>
      <c r="B53" s="34" t="s">
        <v>11</v>
      </c>
      <c r="C53" s="34" t="s">
        <v>141</v>
      </c>
      <c r="D53" s="29">
        <v>1406</v>
      </c>
      <c r="E53" s="29">
        <v>2278</v>
      </c>
      <c r="F53" s="29">
        <v>2881</v>
      </c>
      <c r="G53" s="29">
        <v>2665</v>
      </c>
      <c r="H53" s="29">
        <v>2439</v>
      </c>
      <c r="I53" s="29">
        <v>791</v>
      </c>
      <c r="K53" s="34" t="s">
        <v>11</v>
      </c>
      <c r="L53" s="34" t="s">
        <v>141</v>
      </c>
      <c r="M53" s="29">
        <v>638</v>
      </c>
      <c r="N53" s="29">
        <v>1145</v>
      </c>
      <c r="O53" s="29">
        <v>1456</v>
      </c>
      <c r="P53" s="29">
        <v>1433</v>
      </c>
      <c r="Q53" s="29">
        <v>1252</v>
      </c>
      <c r="R53" s="29">
        <v>791</v>
      </c>
    </row>
    <row r="54" spans="1:18">
      <c r="A54" s="128"/>
      <c r="B54" s="34" t="s">
        <v>12</v>
      </c>
      <c r="C54" s="34" t="s">
        <v>142</v>
      </c>
      <c r="D54" s="29">
        <v>1126</v>
      </c>
      <c r="E54" s="29">
        <v>2275</v>
      </c>
      <c r="F54" s="29">
        <v>2858</v>
      </c>
      <c r="G54" s="29">
        <v>5281</v>
      </c>
      <c r="H54" s="29">
        <v>5492</v>
      </c>
      <c r="I54" s="29">
        <v>2723</v>
      </c>
      <c r="K54" s="34" t="s">
        <v>12</v>
      </c>
      <c r="L54" s="34" t="s">
        <v>142</v>
      </c>
      <c r="M54" s="29">
        <v>362</v>
      </c>
      <c r="N54" s="29">
        <v>1257</v>
      </c>
      <c r="O54" s="29">
        <v>1379</v>
      </c>
      <c r="P54" s="29">
        <v>1896</v>
      </c>
      <c r="Q54" s="29">
        <v>2735</v>
      </c>
      <c r="R54" s="29">
        <v>2723</v>
      </c>
    </row>
    <row r="55" spans="1:18">
      <c r="A55" s="128"/>
      <c r="B55" s="34" t="s">
        <v>13</v>
      </c>
      <c r="C55" s="34" t="s">
        <v>143</v>
      </c>
      <c r="D55" s="29">
        <v>4008</v>
      </c>
      <c r="E55" s="29">
        <v>4714</v>
      </c>
      <c r="F55" s="29">
        <v>6026</v>
      </c>
      <c r="G55" s="29">
        <v>4996</v>
      </c>
      <c r="H55" s="29">
        <v>3914</v>
      </c>
      <c r="I55" s="29">
        <v>913</v>
      </c>
      <c r="K55" s="34" t="s">
        <v>13</v>
      </c>
      <c r="L55" s="34" t="s">
        <v>143</v>
      </c>
      <c r="M55" s="29">
        <v>1736</v>
      </c>
      <c r="N55" s="29">
        <v>2373</v>
      </c>
      <c r="O55" s="29">
        <v>3542</v>
      </c>
      <c r="P55" s="29">
        <v>2750</v>
      </c>
      <c r="Q55" s="29">
        <v>2263</v>
      </c>
      <c r="R55" s="29">
        <v>913</v>
      </c>
    </row>
    <row r="56" spans="1:18">
      <c r="A56" s="128"/>
      <c r="B56" s="34" t="s">
        <v>14</v>
      </c>
      <c r="C56" s="34" t="s">
        <v>144</v>
      </c>
      <c r="D56" s="29">
        <v>355</v>
      </c>
      <c r="E56" s="29">
        <v>485</v>
      </c>
      <c r="F56" s="29">
        <v>561</v>
      </c>
      <c r="G56" s="29">
        <v>697</v>
      </c>
      <c r="H56" s="29">
        <v>638</v>
      </c>
      <c r="I56" s="29">
        <v>154</v>
      </c>
      <c r="K56" s="34" t="s">
        <v>14</v>
      </c>
      <c r="L56" s="34" t="s">
        <v>144</v>
      </c>
      <c r="M56" s="29">
        <v>39</v>
      </c>
      <c r="N56" s="29">
        <v>351</v>
      </c>
      <c r="O56" s="29">
        <v>303</v>
      </c>
      <c r="P56" s="29">
        <v>411</v>
      </c>
      <c r="Q56" s="29">
        <v>366</v>
      </c>
      <c r="R56" s="29">
        <v>154</v>
      </c>
    </row>
    <row r="57" spans="1:18">
      <c r="A57" s="128"/>
      <c r="B57" s="34" t="s">
        <v>15</v>
      </c>
      <c r="C57" s="34" t="s">
        <v>145</v>
      </c>
      <c r="D57" s="29">
        <v>779</v>
      </c>
      <c r="E57" s="29">
        <v>532</v>
      </c>
      <c r="F57" s="29">
        <v>462</v>
      </c>
      <c r="G57" s="29">
        <v>504</v>
      </c>
      <c r="H57" s="29">
        <v>667</v>
      </c>
      <c r="I57" s="29">
        <v>169</v>
      </c>
      <c r="K57" s="34" t="s">
        <v>15</v>
      </c>
      <c r="L57" s="34" t="s">
        <v>145</v>
      </c>
      <c r="M57" s="29">
        <v>429</v>
      </c>
      <c r="N57" s="29">
        <v>372</v>
      </c>
      <c r="O57" s="29">
        <v>173</v>
      </c>
      <c r="P57" s="29">
        <v>257</v>
      </c>
      <c r="Q57" s="29">
        <v>351</v>
      </c>
      <c r="R57" s="29">
        <v>169</v>
      </c>
    </row>
    <row r="58" spans="1:18">
      <c r="A58" s="128"/>
      <c r="B58" s="34"/>
      <c r="C58" s="25"/>
      <c r="D58" s="26">
        <v>57063</v>
      </c>
      <c r="E58" s="26">
        <v>64068</v>
      </c>
      <c r="F58" s="26">
        <v>69902</v>
      </c>
      <c r="G58" s="26">
        <v>74144</v>
      </c>
      <c r="H58" s="26">
        <v>73033</v>
      </c>
      <c r="I58" s="26">
        <v>30738</v>
      </c>
      <c r="K58" s="34"/>
      <c r="L58" s="25"/>
      <c r="M58" s="26">
        <v>26193</v>
      </c>
      <c r="N58" s="26">
        <v>33684</v>
      </c>
      <c r="O58" s="26">
        <v>37723</v>
      </c>
      <c r="P58" s="26">
        <v>38782</v>
      </c>
      <c r="Q58" s="26">
        <v>39900</v>
      </c>
      <c r="R58" s="26">
        <v>30738</v>
      </c>
    </row>
    <row r="61" spans="1:18">
      <c r="A61" s="174" t="s">
        <v>50</v>
      </c>
      <c r="B61" s="12" t="s">
        <v>146</v>
      </c>
      <c r="C61" s="12" t="s">
        <v>147</v>
      </c>
      <c r="D61" s="12">
        <v>2021</v>
      </c>
      <c r="E61" s="12">
        <v>2022</v>
      </c>
      <c r="F61" s="12">
        <v>2023</v>
      </c>
      <c r="G61" s="12">
        <v>2024</v>
      </c>
      <c r="H61" s="12">
        <v>2025</v>
      </c>
      <c r="I61" s="12">
        <v>2026</v>
      </c>
      <c r="K61" s="12" t="s">
        <v>146</v>
      </c>
      <c r="L61" s="12" t="s">
        <v>147</v>
      </c>
      <c r="M61" s="12">
        <v>2021</v>
      </c>
      <c r="N61" s="12">
        <v>2022</v>
      </c>
      <c r="O61" s="12">
        <v>2023</v>
      </c>
      <c r="P61" s="12">
        <v>2024</v>
      </c>
      <c r="Q61" s="12">
        <v>2025</v>
      </c>
      <c r="R61" s="12">
        <v>2026</v>
      </c>
    </row>
    <row r="62" spans="1:18">
      <c r="A62" s="174"/>
      <c r="B62" s="15" t="s">
        <v>0</v>
      </c>
      <c r="C62" s="15" t="s">
        <v>131</v>
      </c>
      <c r="D62" s="13">
        <v>2044</v>
      </c>
      <c r="E62" s="13">
        <v>1920</v>
      </c>
      <c r="F62" s="13">
        <v>2009</v>
      </c>
      <c r="G62" s="13">
        <v>2011</v>
      </c>
      <c r="H62" s="13">
        <v>2285</v>
      </c>
      <c r="I62" s="13">
        <v>1516</v>
      </c>
      <c r="K62" s="15" t="s">
        <v>0</v>
      </c>
      <c r="L62" s="15" t="s">
        <v>131</v>
      </c>
      <c r="M62" s="13">
        <v>1561</v>
      </c>
      <c r="N62" s="13">
        <v>1480</v>
      </c>
      <c r="O62" s="13">
        <v>1524</v>
      </c>
      <c r="P62" s="13">
        <v>1677</v>
      </c>
      <c r="Q62" s="13">
        <v>1729</v>
      </c>
      <c r="R62" s="13">
        <v>1516</v>
      </c>
    </row>
    <row r="63" spans="1:18" ht="15" customHeight="1">
      <c r="A63" s="146"/>
      <c r="B63" s="15" t="s">
        <v>1</v>
      </c>
      <c r="C63" s="15" t="s">
        <v>130</v>
      </c>
      <c r="D63" s="13">
        <v>1466</v>
      </c>
      <c r="E63" s="13">
        <v>2482</v>
      </c>
      <c r="F63" s="13">
        <v>2784</v>
      </c>
      <c r="G63" s="13">
        <v>3194</v>
      </c>
      <c r="H63" s="13">
        <v>4114</v>
      </c>
      <c r="I63" s="13">
        <v>2367</v>
      </c>
      <c r="K63" s="15" t="s">
        <v>1</v>
      </c>
      <c r="L63" s="15" t="s">
        <v>130</v>
      </c>
      <c r="M63" s="13">
        <v>903</v>
      </c>
      <c r="N63" s="13">
        <v>1812</v>
      </c>
      <c r="O63" s="13">
        <v>1923</v>
      </c>
      <c r="P63" s="13">
        <v>2148</v>
      </c>
      <c r="Q63" s="13">
        <v>2903</v>
      </c>
      <c r="R63" s="13">
        <v>2367</v>
      </c>
    </row>
    <row r="64" spans="1:18" ht="15" customHeight="1">
      <c r="A64" s="147" t="s">
        <v>101</v>
      </c>
      <c r="B64" s="15" t="s">
        <v>2</v>
      </c>
      <c r="C64" s="15" t="s">
        <v>132</v>
      </c>
      <c r="D64" s="13">
        <v>1269</v>
      </c>
      <c r="E64" s="13">
        <v>3059</v>
      </c>
      <c r="F64" s="13">
        <v>3404</v>
      </c>
      <c r="G64" s="13">
        <v>3477</v>
      </c>
      <c r="H64" s="13">
        <v>4079</v>
      </c>
      <c r="I64" s="13">
        <v>2130</v>
      </c>
      <c r="K64" s="15" t="s">
        <v>2</v>
      </c>
      <c r="L64" s="15" t="s">
        <v>132</v>
      </c>
      <c r="M64" s="13">
        <v>859</v>
      </c>
      <c r="N64" s="13">
        <v>2284</v>
      </c>
      <c r="O64" s="13">
        <v>2965</v>
      </c>
      <c r="P64" s="13">
        <v>2046</v>
      </c>
      <c r="Q64" s="13">
        <v>1963</v>
      </c>
      <c r="R64" s="13">
        <v>2130</v>
      </c>
    </row>
    <row r="65" spans="1:18">
      <c r="A65" s="147" t="s">
        <v>107</v>
      </c>
      <c r="B65" s="15" t="s">
        <v>3</v>
      </c>
      <c r="C65" s="15" t="s">
        <v>133</v>
      </c>
      <c r="D65" s="13">
        <v>2999</v>
      </c>
      <c r="E65" s="13">
        <v>4952</v>
      </c>
      <c r="F65" s="13">
        <v>1815</v>
      </c>
      <c r="G65" s="13">
        <v>3345</v>
      </c>
      <c r="H65" s="13">
        <v>3108</v>
      </c>
      <c r="I65" s="13">
        <v>1963</v>
      </c>
      <c r="K65" s="15" t="s">
        <v>3</v>
      </c>
      <c r="L65" s="15" t="s">
        <v>133</v>
      </c>
      <c r="M65" s="13">
        <v>2183</v>
      </c>
      <c r="N65" s="13">
        <v>4378</v>
      </c>
      <c r="O65" s="13">
        <v>1480</v>
      </c>
      <c r="P65" s="13">
        <v>2499</v>
      </c>
      <c r="Q65" s="13">
        <v>2539</v>
      </c>
      <c r="R65" s="13">
        <v>1963</v>
      </c>
    </row>
    <row r="66" spans="1:18">
      <c r="A66" s="146"/>
      <c r="B66" s="15" t="s">
        <v>4</v>
      </c>
      <c r="C66" s="15" t="s">
        <v>134</v>
      </c>
      <c r="D66" s="13">
        <v>5742</v>
      </c>
      <c r="E66" s="13">
        <v>6543</v>
      </c>
      <c r="F66" s="13">
        <v>8291</v>
      </c>
      <c r="G66" s="13">
        <v>9511</v>
      </c>
      <c r="H66" s="13">
        <v>8745</v>
      </c>
      <c r="I66" s="13">
        <v>4196</v>
      </c>
      <c r="K66" s="15" t="s">
        <v>4</v>
      </c>
      <c r="L66" s="15" t="s">
        <v>134</v>
      </c>
      <c r="M66" s="13">
        <v>3011</v>
      </c>
      <c r="N66" s="13">
        <v>4272</v>
      </c>
      <c r="O66" s="13">
        <v>5301</v>
      </c>
      <c r="P66" s="13">
        <v>6699</v>
      </c>
      <c r="Q66" s="13">
        <v>5145</v>
      </c>
      <c r="R66" s="13">
        <v>4196</v>
      </c>
    </row>
    <row r="67" spans="1:18">
      <c r="A67" s="146"/>
      <c r="B67" s="15" t="s">
        <v>5</v>
      </c>
      <c r="C67" s="15" t="s">
        <v>135</v>
      </c>
      <c r="D67" s="13">
        <v>746</v>
      </c>
      <c r="E67" s="13">
        <v>1220</v>
      </c>
      <c r="F67" s="13">
        <v>1402</v>
      </c>
      <c r="G67" s="13">
        <v>1591</v>
      </c>
      <c r="H67" s="13">
        <v>1660</v>
      </c>
      <c r="I67" s="13">
        <v>1828</v>
      </c>
      <c r="K67" s="15" t="s">
        <v>5</v>
      </c>
      <c r="L67" s="15" t="s">
        <v>135</v>
      </c>
      <c r="M67" s="13">
        <v>375</v>
      </c>
      <c r="N67" s="13">
        <v>939</v>
      </c>
      <c r="O67" s="13">
        <v>924</v>
      </c>
      <c r="P67" s="13">
        <v>698</v>
      </c>
      <c r="Q67" s="13">
        <v>913</v>
      </c>
      <c r="R67" s="13">
        <v>1828</v>
      </c>
    </row>
    <row r="68" spans="1:18">
      <c r="A68" s="146"/>
      <c r="B68" s="15" t="s">
        <v>6</v>
      </c>
      <c r="C68" s="15" t="s">
        <v>136</v>
      </c>
      <c r="D68" s="13">
        <v>630</v>
      </c>
      <c r="E68" s="13">
        <v>1031</v>
      </c>
      <c r="F68" s="13">
        <v>668</v>
      </c>
      <c r="G68" s="13">
        <v>1222</v>
      </c>
      <c r="H68" s="13">
        <v>1767</v>
      </c>
      <c r="I68" s="13">
        <v>619</v>
      </c>
      <c r="K68" s="15" t="s">
        <v>6</v>
      </c>
      <c r="L68" s="15" t="s">
        <v>136</v>
      </c>
      <c r="M68" s="13">
        <v>399</v>
      </c>
      <c r="N68" s="13">
        <v>679</v>
      </c>
      <c r="O68" s="13">
        <v>565</v>
      </c>
      <c r="P68" s="13">
        <v>826</v>
      </c>
      <c r="Q68" s="13">
        <v>1222</v>
      </c>
      <c r="R68" s="13">
        <v>619</v>
      </c>
    </row>
    <row r="69" spans="1:18">
      <c r="A69" s="146"/>
      <c r="B69" s="15" t="s">
        <v>7</v>
      </c>
      <c r="C69" s="15" t="s">
        <v>137</v>
      </c>
      <c r="D69" s="13">
        <v>412</v>
      </c>
      <c r="E69" s="13">
        <v>1043</v>
      </c>
      <c r="F69" s="13">
        <v>998</v>
      </c>
      <c r="G69" s="13">
        <v>1612</v>
      </c>
      <c r="H69" s="13">
        <v>1238</v>
      </c>
      <c r="I69" s="13">
        <v>557</v>
      </c>
      <c r="K69" s="15" t="s">
        <v>7</v>
      </c>
      <c r="L69" s="15" t="s">
        <v>137</v>
      </c>
      <c r="M69" s="13">
        <v>224</v>
      </c>
      <c r="N69" s="13">
        <v>773</v>
      </c>
      <c r="O69" s="13">
        <v>813</v>
      </c>
      <c r="P69" s="13">
        <v>1187</v>
      </c>
      <c r="Q69" s="13">
        <v>1119</v>
      </c>
      <c r="R69" s="13">
        <v>557</v>
      </c>
    </row>
    <row r="70" spans="1:18">
      <c r="A70" s="146"/>
      <c r="B70" s="15" t="s">
        <v>8</v>
      </c>
      <c r="C70" s="15" t="s">
        <v>138</v>
      </c>
      <c r="D70" s="13">
        <v>273</v>
      </c>
      <c r="E70" s="13">
        <v>511</v>
      </c>
      <c r="F70" s="13">
        <v>732</v>
      </c>
      <c r="G70" s="13">
        <v>864</v>
      </c>
      <c r="H70" s="13">
        <v>1094</v>
      </c>
      <c r="I70" s="13">
        <v>1029</v>
      </c>
      <c r="K70" s="15" t="s">
        <v>8</v>
      </c>
      <c r="L70" s="15" t="s">
        <v>138</v>
      </c>
      <c r="M70" s="13">
        <v>91</v>
      </c>
      <c r="N70" s="13">
        <v>236</v>
      </c>
      <c r="O70" s="13">
        <v>609</v>
      </c>
      <c r="P70" s="13">
        <v>479</v>
      </c>
      <c r="Q70" s="13">
        <v>942</v>
      </c>
      <c r="R70" s="13">
        <v>1029</v>
      </c>
    </row>
    <row r="71" spans="1:18">
      <c r="A71" s="146"/>
      <c r="B71" s="15" t="s">
        <v>9</v>
      </c>
      <c r="C71" s="15" t="s">
        <v>139</v>
      </c>
      <c r="D71" s="13">
        <v>505</v>
      </c>
      <c r="E71" s="13">
        <v>679</v>
      </c>
      <c r="F71" s="13">
        <v>962</v>
      </c>
      <c r="G71" s="13">
        <v>1687</v>
      </c>
      <c r="H71" s="13">
        <v>2049</v>
      </c>
      <c r="I71" s="13">
        <v>506</v>
      </c>
      <c r="K71" s="15" t="s">
        <v>9</v>
      </c>
      <c r="L71" s="15" t="s">
        <v>139</v>
      </c>
      <c r="M71" s="13">
        <v>333</v>
      </c>
      <c r="N71" s="13">
        <v>442</v>
      </c>
      <c r="O71" s="13">
        <v>735</v>
      </c>
      <c r="P71" s="13">
        <v>1174</v>
      </c>
      <c r="Q71" s="13">
        <v>1820</v>
      </c>
      <c r="R71" s="13">
        <v>506</v>
      </c>
    </row>
    <row r="72" spans="1:18">
      <c r="A72" s="146"/>
      <c r="B72" s="15" t="s">
        <v>10</v>
      </c>
      <c r="C72" s="15" t="s">
        <v>140</v>
      </c>
      <c r="D72" s="13">
        <v>874</v>
      </c>
      <c r="E72" s="13">
        <v>1068</v>
      </c>
      <c r="F72" s="13">
        <v>1578</v>
      </c>
      <c r="G72" s="13">
        <v>733</v>
      </c>
      <c r="H72" s="13">
        <v>1329</v>
      </c>
      <c r="I72" s="13">
        <v>443</v>
      </c>
      <c r="K72" s="15" t="s">
        <v>10</v>
      </c>
      <c r="L72" s="15" t="s">
        <v>140</v>
      </c>
      <c r="M72" s="13">
        <v>538</v>
      </c>
      <c r="N72" s="13">
        <v>937</v>
      </c>
      <c r="O72" s="13">
        <v>1388</v>
      </c>
      <c r="P72" s="13">
        <v>534</v>
      </c>
      <c r="Q72" s="13">
        <v>1099</v>
      </c>
      <c r="R72" s="13">
        <v>443</v>
      </c>
    </row>
    <row r="73" spans="1:18">
      <c r="A73" s="146"/>
      <c r="B73" s="15" t="s">
        <v>11</v>
      </c>
      <c r="C73" s="15" t="s">
        <v>141</v>
      </c>
      <c r="D73" s="13">
        <v>346</v>
      </c>
      <c r="E73" s="13">
        <v>479</v>
      </c>
      <c r="F73" s="13">
        <v>2562</v>
      </c>
      <c r="G73" s="13">
        <v>3571</v>
      </c>
      <c r="H73" s="13">
        <v>2486</v>
      </c>
      <c r="I73" s="13">
        <v>1699</v>
      </c>
      <c r="K73" s="15" t="s">
        <v>11</v>
      </c>
      <c r="L73" s="15" t="s">
        <v>141</v>
      </c>
      <c r="M73" s="13">
        <v>152</v>
      </c>
      <c r="N73" s="13">
        <v>139</v>
      </c>
      <c r="O73" s="13">
        <v>2054</v>
      </c>
      <c r="P73" s="13">
        <v>3247</v>
      </c>
      <c r="Q73" s="13">
        <v>2232</v>
      </c>
      <c r="R73" s="13">
        <v>1699</v>
      </c>
    </row>
    <row r="74" spans="1:18">
      <c r="A74" s="146"/>
      <c r="B74" s="15" t="s">
        <v>12</v>
      </c>
      <c r="C74" s="15" t="s">
        <v>142</v>
      </c>
      <c r="D74" s="13">
        <v>403</v>
      </c>
      <c r="E74" s="13">
        <v>770</v>
      </c>
      <c r="F74" s="13">
        <v>871</v>
      </c>
      <c r="G74" s="13">
        <v>872</v>
      </c>
      <c r="H74" s="13">
        <v>1070</v>
      </c>
      <c r="I74" s="13">
        <v>483</v>
      </c>
      <c r="K74" s="15" t="s">
        <v>12</v>
      </c>
      <c r="L74" s="15" t="s">
        <v>142</v>
      </c>
      <c r="M74" s="13">
        <v>232</v>
      </c>
      <c r="N74" s="13">
        <v>428</v>
      </c>
      <c r="O74" s="13">
        <v>554</v>
      </c>
      <c r="P74" s="13">
        <v>594</v>
      </c>
      <c r="Q74" s="13">
        <v>574</v>
      </c>
      <c r="R74" s="13">
        <v>483</v>
      </c>
    </row>
    <row r="75" spans="1:18">
      <c r="A75" s="146"/>
      <c r="B75" s="15" t="s">
        <v>13</v>
      </c>
      <c r="C75" s="15" t="s">
        <v>143</v>
      </c>
      <c r="D75" s="13">
        <v>551</v>
      </c>
      <c r="E75" s="13">
        <v>732</v>
      </c>
      <c r="F75" s="13">
        <v>1056</v>
      </c>
      <c r="G75" s="13">
        <v>1260</v>
      </c>
      <c r="H75" s="13">
        <v>1416</v>
      </c>
      <c r="I75" s="13">
        <v>412</v>
      </c>
      <c r="K75" s="15" t="s">
        <v>13</v>
      </c>
      <c r="L75" s="15" t="s">
        <v>143</v>
      </c>
      <c r="M75" s="13">
        <v>273</v>
      </c>
      <c r="N75" s="13">
        <v>521</v>
      </c>
      <c r="O75" s="13">
        <v>850</v>
      </c>
      <c r="P75" s="13">
        <v>1091</v>
      </c>
      <c r="Q75" s="13">
        <v>1215</v>
      </c>
      <c r="R75" s="13">
        <v>412</v>
      </c>
    </row>
    <row r="76" spans="1:18">
      <c r="A76" s="146"/>
      <c r="B76" s="15" t="s">
        <v>14</v>
      </c>
      <c r="C76" s="15" t="s">
        <v>144</v>
      </c>
      <c r="D76" s="13">
        <v>38</v>
      </c>
      <c r="E76" s="13">
        <v>178</v>
      </c>
      <c r="F76" s="13">
        <v>491</v>
      </c>
      <c r="G76" s="13">
        <v>375</v>
      </c>
      <c r="H76" s="13">
        <v>488</v>
      </c>
      <c r="I76" s="13">
        <v>213</v>
      </c>
      <c r="K76" s="15" t="s">
        <v>14</v>
      </c>
      <c r="L76" s="15" t="s">
        <v>144</v>
      </c>
      <c r="M76" s="13">
        <v>14</v>
      </c>
      <c r="N76" s="13">
        <v>40</v>
      </c>
      <c r="O76" s="13">
        <v>278</v>
      </c>
      <c r="P76" s="13">
        <v>211</v>
      </c>
      <c r="Q76" s="13">
        <v>293</v>
      </c>
      <c r="R76" s="13">
        <v>213</v>
      </c>
    </row>
    <row r="77" spans="1:18">
      <c r="A77" s="146"/>
      <c r="B77" s="15" t="s">
        <v>15</v>
      </c>
      <c r="C77" s="15" t="s">
        <v>145</v>
      </c>
      <c r="D77" s="13">
        <v>141</v>
      </c>
      <c r="E77" s="13">
        <v>570</v>
      </c>
      <c r="F77" s="13">
        <v>1550</v>
      </c>
      <c r="G77" s="13">
        <v>1384</v>
      </c>
      <c r="H77" s="13">
        <v>327</v>
      </c>
      <c r="I77" s="13">
        <v>43</v>
      </c>
      <c r="K77" s="15" t="s">
        <v>15</v>
      </c>
      <c r="L77" s="15" t="s">
        <v>145</v>
      </c>
      <c r="M77" s="13">
        <v>89</v>
      </c>
      <c r="N77" s="13">
        <v>357</v>
      </c>
      <c r="O77" s="13">
        <v>1234</v>
      </c>
      <c r="P77" s="13">
        <v>927</v>
      </c>
      <c r="Q77" s="13">
        <v>269</v>
      </c>
      <c r="R77" s="13">
        <v>43</v>
      </c>
    </row>
    <row r="78" spans="1:18">
      <c r="A78" s="146"/>
      <c r="B78" s="15"/>
      <c r="C78" s="14"/>
      <c r="D78" s="18">
        <v>18439</v>
      </c>
      <c r="E78" s="18">
        <v>27237</v>
      </c>
      <c r="F78" s="18">
        <v>31173</v>
      </c>
      <c r="G78" s="18">
        <v>36709</v>
      </c>
      <c r="H78" s="18">
        <v>37255</v>
      </c>
      <c r="I78" s="18">
        <v>20004</v>
      </c>
      <c r="K78" s="15"/>
      <c r="L78" s="14"/>
      <c r="M78" s="18">
        <v>11237</v>
      </c>
      <c r="N78" s="18">
        <v>19717</v>
      </c>
      <c r="O78" s="18">
        <v>23197</v>
      </c>
      <c r="P78" s="18">
        <v>26037</v>
      </c>
      <c r="Q78" s="18">
        <v>25977</v>
      </c>
      <c r="R78" s="18">
        <v>20004</v>
      </c>
    </row>
  </sheetData>
  <mergeCells count="4">
    <mergeCell ref="A1:A2"/>
    <mergeCell ref="A21:A22"/>
    <mergeCell ref="A41:A42"/>
    <mergeCell ref="A61:A62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R78"/>
  <sheetViews>
    <sheetView topLeftCell="A13" zoomScale="80" zoomScaleNormal="80" workbookViewId="0">
      <selection sqref="A1:A2"/>
    </sheetView>
  </sheetViews>
  <sheetFormatPr defaultColWidth="8.77734375" defaultRowHeight="14.4"/>
  <cols>
    <col min="1" max="1" width="28.44140625" customWidth="1"/>
    <col min="3" max="3" width="25.33203125" customWidth="1"/>
    <col min="12" max="12" width="25.33203125" customWidth="1"/>
  </cols>
  <sheetData>
    <row r="1" spans="1:18" ht="15" customHeight="1">
      <c r="A1" s="176" t="s">
        <v>53</v>
      </c>
      <c r="B1" s="79" t="s">
        <v>146</v>
      </c>
      <c r="C1" s="79" t="s">
        <v>147</v>
      </c>
      <c r="D1" s="79">
        <v>2021</v>
      </c>
      <c r="E1" s="79">
        <v>2022</v>
      </c>
      <c r="F1" s="79">
        <v>2023</v>
      </c>
      <c r="G1" s="79">
        <v>2024</v>
      </c>
      <c r="H1" s="79">
        <v>2025</v>
      </c>
      <c r="I1" s="79">
        <v>2026</v>
      </c>
      <c r="K1" s="79" t="s">
        <v>146</v>
      </c>
      <c r="L1" s="79" t="s">
        <v>147</v>
      </c>
      <c r="M1" s="79">
        <v>2021</v>
      </c>
      <c r="N1" s="79">
        <v>2022</v>
      </c>
      <c r="O1" s="79">
        <v>2023</v>
      </c>
      <c r="P1" s="79">
        <v>2024</v>
      </c>
      <c r="Q1" s="79">
        <v>2025</v>
      </c>
      <c r="R1" s="79">
        <v>2026</v>
      </c>
    </row>
    <row r="2" spans="1:18" ht="15" customHeight="1">
      <c r="A2" s="176"/>
      <c r="B2" s="80" t="s">
        <v>0</v>
      </c>
      <c r="C2" s="80" t="s">
        <v>131</v>
      </c>
      <c r="D2" s="81">
        <v>962.56000000000006</v>
      </c>
      <c r="E2" s="81">
        <v>1094.57</v>
      </c>
      <c r="F2" s="81">
        <v>1129.8600000000001</v>
      </c>
      <c r="G2" s="81">
        <v>1046.9699999999998</v>
      </c>
      <c r="H2" s="81">
        <v>1301.6600000000001</v>
      </c>
      <c r="I2" s="81">
        <v>661.64</v>
      </c>
      <c r="K2" s="80" t="s">
        <v>0</v>
      </c>
      <c r="L2" s="80" t="s">
        <v>131</v>
      </c>
      <c r="M2" s="81">
        <v>661.72</v>
      </c>
      <c r="N2" s="81">
        <v>728.37</v>
      </c>
      <c r="O2" s="81">
        <v>807.8599999999999</v>
      </c>
      <c r="P2" s="81">
        <v>722.18</v>
      </c>
      <c r="Q2" s="81">
        <v>880.08000000000015</v>
      </c>
      <c r="R2" s="81">
        <v>661.64</v>
      </c>
    </row>
    <row r="3" spans="1:18">
      <c r="A3" s="137"/>
      <c r="B3" s="80" t="s">
        <v>1</v>
      </c>
      <c r="C3" s="80" t="s">
        <v>130</v>
      </c>
      <c r="D3" s="81">
        <v>2512.6799999999998</v>
      </c>
      <c r="E3" s="81">
        <v>2536.1799999999998</v>
      </c>
      <c r="F3" s="81">
        <v>2686.2500000000005</v>
      </c>
      <c r="G3" s="81">
        <v>2501.5000000000005</v>
      </c>
      <c r="H3" s="81">
        <v>2413.3699999999994</v>
      </c>
      <c r="I3" s="81">
        <v>1259.03</v>
      </c>
      <c r="K3" s="80" t="s">
        <v>1</v>
      </c>
      <c r="L3" s="80" t="s">
        <v>130</v>
      </c>
      <c r="M3" s="81">
        <v>1358.4399999999996</v>
      </c>
      <c r="N3" s="81">
        <v>1552.2399999999998</v>
      </c>
      <c r="O3" s="81">
        <v>1724.3700000000001</v>
      </c>
      <c r="P3" s="81">
        <v>1597.9199999999998</v>
      </c>
      <c r="Q3" s="81">
        <v>1513.37</v>
      </c>
      <c r="R3" s="81">
        <v>1259.03</v>
      </c>
    </row>
    <row r="4" spans="1:18">
      <c r="A4" s="138" t="s">
        <v>101</v>
      </c>
      <c r="B4" s="80" t="s">
        <v>2</v>
      </c>
      <c r="C4" s="80" t="s">
        <v>132</v>
      </c>
      <c r="D4" s="81">
        <v>1310.18</v>
      </c>
      <c r="E4" s="81">
        <v>1226.52</v>
      </c>
      <c r="F4" s="81">
        <v>1365.48</v>
      </c>
      <c r="G4" s="81">
        <v>1524.4099999999999</v>
      </c>
      <c r="H4" s="81">
        <v>2001.1400000000003</v>
      </c>
      <c r="I4" s="81">
        <v>884.88</v>
      </c>
      <c r="K4" s="80" t="s">
        <v>2</v>
      </c>
      <c r="L4" s="80" t="s">
        <v>132</v>
      </c>
      <c r="M4" s="81">
        <v>966.42000000000007</v>
      </c>
      <c r="N4" s="81">
        <v>827.7600000000001</v>
      </c>
      <c r="O4" s="81">
        <v>961.58</v>
      </c>
      <c r="P4" s="81">
        <v>917.64</v>
      </c>
      <c r="Q4" s="81">
        <v>1362.31</v>
      </c>
      <c r="R4" s="81">
        <v>884.88</v>
      </c>
    </row>
    <row r="5" spans="1:18">
      <c r="A5" s="138" t="s">
        <v>110</v>
      </c>
      <c r="B5" s="80" t="s">
        <v>3</v>
      </c>
      <c r="C5" s="80" t="s">
        <v>133</v>
      </c>
      <c r="D5" s="81">
        <v>1914.11</v>
      </c>
      <c r="E5" s="81">
        <v>1920.31</v>
      </c>
      <c r="F5" s="81">
        <v>2099.6899999999996</v>
      </c>
      <c r="G5" s="81">
        <v>1857.56</v>
      </c>
      <c r="H5" s="81">
        <v>2262.37</v>
      </c>
      <c r="I5" s="81">
        <v>718.76</v>
      </c>
      <c r="K5" s="80" t="s">
        <v>3</v>
      </c>
      <c r="L5" s="80" t="s">
        <v>133</v>
      </c>
      <c r="M5" s="81">
        <v>1131.8800000000001</v>
      </c>
      <c r="N5" s="81">
        <v>1269.9600000000003</v>
      </c>
      <c r="O5" s="81">
        <v>1455.6100000000001</v>
      </c>
      <c r="P5" s="81">
        <v>1308.83</v>
      </c>
      <c r="Q5" s="81">
        <v>1463.79</v>
      </c>
      <c r="R5" s="81">
        <v>718.76</v>
      </c>
    </row>
    <row r="6" spans="1:18">
      <c r="A6" s="137"/>
      <c r="B6" s="80" t="s">
        <v>4</v>
      </c>
      <c r="C6" s="80" t="s">
        <v>134</v>
      </c>
      <c r="D6" s="81">
        <v>3859.3399999999997</v>
      </c>
      <c r="E6" s="81">
        <v>3469.4400000000005</v>
      </c>
      <c r="F6" s="81">
        <v>3906.7800000000007</v>
      </c>
      <c r="G6" s="81">
        <v>3915.34</v>
      </c>
      <c r="H6" s="81">
        <v>3721.08</v>
      </c>
      <c r="I6" s="81">
        <v>1893.11</v>
      </c>
      <c r="K6" s="80" t="s">
        <v>4</v>
      </c>
      <c r="L6" s="80" t="s">
        <v>134</v>
      </c>
      <c r="M6" s="81">
        <v>2321.7400000000002</v>
      </c>
      <c r="N6" s="81">
        <v>2183.7999999999997</v>
      </c>
      <c r="O6" s="81">
        <v>2291.2600000000002</v>
      </c>
      <c r="P6" s="81">
        <v>2466.86</v>
      </c>
      <c r="Q6" s="81">
        <v>2131.4</v>
      </c>
      <c r="R6" s="81">
        <v>1893.11</v>
      </c>
    </row>
    <row r="7" spans="1:18">
      <c r="A7" s="137"/>
      <c r="B7" s="80" t="s">
        <v>5</v>
      </c>
      <c r="C7" s="80" t="s">
        <v>135</v>
      </c>
      <c r="D7" s="81">
        <v>1104.1600000000001</v>
      </c>
      <c r="E7" s="81">
        <v>1121.97</v>
      </c>
      <c r="F7" s="81">
        <v>1311.3200000000008</v>
      </c>
      <c r="G7" s="81">
        <v>1000.09</v>
      </c>
      <c r="H7" s="81">
        <v>945.45999999999992</v>
      </c>
      <c r="I7" s="81">
        <v>343.69000000000005</v>
      </c>
      <c r="K7" s="80" t="s">
        <v>5</v>
      </c>
      <c r="L7" s="80" t="s">
        <v>135</v>
      </c>
      <c r="M7" s="81">
        <v>800.8</v>
      </c>
      <c r="N7" s="81">
        <v>687.46</v>
      </c>
      <c r="O7" s="81">
        <v>616.78</v>
      </c>
      <c r="P7" s="81">
        <v>668.09</v>
      </c>
      <c r="Q7" s="81">
        <v>544.84</v>
      </c>
      <c r="R7" s="81">
        <v>343.69000000000005</v>
      </c>
    </row>
    <row r="8" spans="1:18">
      <c r="A8" s="137"/>
      <c r="B8" s="80" t="s">
        <v>6</v>
      </c>
      <c r="C8" s="80" t="s">
        <v>136</v>
      </c>
      <c r="D8" s="81">
        <v>806.65000000000009</v>
      </c>
      <c r="E8" s="81">
        <v>1050.02</v>
      </c>
      <c r="F8" s="81">
        <v>929.9</v>
      </c>
      <c r="G8" s="81">
        <v>1028.6399999999999</v>
      </c>
      <c r="H8" s="81">
        <v>1103.74</v>
      </c>
      <c r="I8" s="81">
        <v>437.97999999999996</v>
      </c>
      <c r="K8" s="80" t="s">
        <v>6</v>
      </c>
      <c r="L8" s="80" t="s">
        <v>136</v>
      </c>
      <c r="M8" s="81">
        <v>477.68</v>
      </c>
      <c r="N8" s="81">
        <v>500.1</v>
      </c>
      <c r="O8" s="81">
        <v>569.63</v>
      </c>
      <c r="P8" s="81">
        <v>677.90999999999985</v>
      </c>
      <c r="Q8" s="81">
        <v>545.89</v>
      </c>
      <c r="R8" s="81">
        <v>437.97999999999996</v>
      </c>
    </row>
    <row r="9" spans="1:18">
      <c r="A9" s="137"/>
      <c r="B9" s="80" t="s">
        <v>7</v>
      </c>
      <c r="C9" s="80" t="s">
        <v>137</v>
      </c>
      <c r="D9" s="81">
        <v>1108.1800000000003</v>
      </c>
      <c r="E9" s="81">
        <v>1071.97</v>
      </c>
      <c r="F9" s="81">
        <v>1139.69</v>
      </c>
      <c r="G9" s="81">
        <v>1147.69</v>
      </c>
      <c r="H9" s="81">
        <v>1144.7499999999998</v>
      </c>
      <c r="I9" s="81">
        <v>529.95999999999992</v>
      </c>
      <c r="K9" s="80" t="s">
        <v>7</v>
      </c>
      <c r="L9" s="80" t="s">
        <v>137</v>
      </c>
      <c r="M9" s="81">
        <v>574.57999999999993</v>
      </c>
      <c r="N9" s="81">
        <v>649.94999999999993</v>
      </c>
      <c r="O9" s="81">
        <v>688.44</v>
      </c>
      <c r="P9" s="81">
        <v>656.46999999999991</v>
      </c>
      <c r="Q9" s="81">
        <v>732.45</v>
      </c>
      <c r="R9" s="81">
        <v>529.95999999999992</v>
      </c>
    </row>
    <row r="10" spans="1:18">
      <c r="A10" s="137"/>
      <c r="B10" s="80" t="s">
        <v>8</v>
      </c>
      <c r="C10" s="80" t="s">
        <v>138</v>
      </c>
      <c r="D10" s="81">
        <v>949.2299999999999</v>
      </c>
      <c r="E10" s="81">
        <v>763.29000000000008</v>
      </c>
      <c r="F10" s="81">
        <v>707.42000000000007</v>
      </c>
      <c r="G10" s="81">
        <v>1186.0900000000001</v>
      </c>
      <c r="H10" s="81">
        <v>990.21</v>
      </c>
      <c r="I10" s="81">
        <v>472.35</v>
      </c>
      <c r="K10" s="80" t="s">
        <v>8</v>
      </c>
      <c r="L10" s="80" t="s">
        <v>138</v>
      </c>
      <c r="M10" s="81">
        <v>665.28</v>
      </c>
      <c r="N10" s="81">
        <v>554.09</v>
      </c>
      <c r="O10" s="81">
        <v>555.02</v>
      </c>
      <c r="P10" s="81">
        <v>616.34000000000015</v>
      </c>
      <c r="Q10" s="81">
        <v>627.52</v>
      </c>
      <c r="R10" s="81">
        <v>472.35</v>
      </c>
    </row>
    <row r="11" spans="1:18">
      <c r="A11" s="137"/>
      <c r="B11" s="80" t="s">
        <v>9</v>
      </c>
      <c r="C11" s="80" t="s">
        <v>139</v>
      </c>
      <c r="D11" s="81">
        <v>598.79</v>
      </c>
      <c r="E11" s="81">
        <v>401.26</v>
      </c>
      <c r="F11" s="81">
        <v>352.99</v>
      </c>
      <c r="G11" s="81">
        <v>297.95000000000005</v>
      </c>
      <c r="H11" s="81">
        <v>382.82000000000005</v>
      </c>
      <c r="I11" s="81">
        <v>216.28</v>
      </c>
      <c r="K11" s="80" t="s">
        <v>9</v>
      </c>
      <c r="L11" s="80" t="s">
        <v>139</v>
      </c>
      <c r="M11" s="81">
        <v>428.79</v>
      </c>
      <c r="N11" s="81">
        <v>300.01</v>
      </c>
      <c r="O11" s="81">
        <v>287.49</v>
      </c>
      <c r="P11" s="81">
        <v>210.48000000000002</v>
      </c>
      <c r="Q11" s="81">
        <v>232.92000000000002</v>
      </c>
      <c r="R11" s="81">
        <v>216.28</v>
      </c>
    </row>
    <row r="12" spans="1:18">
      <c r="A12" s="137"/>
      <c r="B12" s="80" t="s">
        <v>10</v>
      </c>
      <c r="C12" s="80" t="s">
        <v>140</v>
      </c>
      <c r="D12" s="81">
        <v>1701.55</v>
      </c>
      <c r="E12" s="81">
        <v>1008.9199999999998</v>
      </c>
      <c r="F12" s="81">
        <v>1354.1899999999998</v>
      </c>
      <c r="G12" s="81">
        <v>880.68000000000006</v>
      </c>
      <c r="H12" s="81">
        <v>1335.75</v>
      </c>
      <c r="I12" s="81">
        <v>661.06</v>
      </c>
      <c r="K12" s="80" t="s">
        <v>10</v>
      </c>
      <c r="L12" s="80" t="s">
        <v>140</v>
      </c>
      <c r="M12" s="81">
        <v>1220.3499999999999</v>
      </c>
      <c r="N12" s="81">
        <v>651.72</v>
      </c>
      <c r="O12" s="81">
        <v>821.24000000000012</v>
      </c>
      <c r="P12" s="81">
        <v>657.53</v>
      </c>
      <c r="Q12" s="81">
        <v>813.73</v>
      </c>
      <c r="R12" s="81">
        <v>661.06</v>
      </c>
    </row>
    <row r="13" spans="1:18">
      <c r="A13" s="137"/>
      <c r="B13" s="80" t="s">
        <v>11</v>
      </c>
      <c r="C13" s="80" t="s">
        <v>141</v>
      </c>
      <c r="D13" s="81">
        <v>1047.56</v>
      </c>
      <c r="E13" s="81">
        <v>1172.1599999999999</v>
      </c>
      <c r="F13" s="81">
        <v>1318.3400000000001</v>
      </c>
      <c r="G13" s="81">
        <v>1338.6499999999999</v>
      </c>
      <c r="H13" s="81">
        <v>1253.5500000000002</v>
      </c>
      <c r="I13" s="81">
        <v>621.44000000000005</v>
      </c>
      <c r="K13" s="80" t="s">
        <v>11</v>
      </c>
      <c r="L13" s="80" t="s">
        <v>141</v>
      </c>
      <c r="M13" s="81">
        <v>631.88</v>
      </c>
      <c r="N13" s="81">
        <v>606.31000000000006</v>
      </c>
      <c r="O13" s="81">
        <v>735.45999999999992</v>
      </c>
      <c r="P13" s="81">
        <v>895</v>
      </c>
      <c r="Q13" s="81">
        <v>721.8</v>
      </c>
      <c r="R13" s="81">
        <v>621.44000000000005</v>
      </c>
    </row>
    <row r="14" spans="1:18">
      <c r="A14" s="137"/>
      <c r="B14" s="80" t="s">
        <v>12</v>
      </c>
      <c r="C14" s="80" t="s">
        <v>142</v>
      </c>
      <c r="D14" s="81">
        <v>1104.29</v>
      </c>
      <c r="E14" s="81">
        <v>1091.92</v>
      </c>
      <c r="F14" s="81">
        <v>1460.4500000000003</v>
      </c>
      <c r="G14" s="81">
        <v>1598.5399999999997</v>
      </c>
      <c r="H14" s="81">
        <v>1551.9699999999998</v>
      </c>
      <c r="I14" s="81">
        <v>387.57</v>
      </c>
      <c r="K14" s="80" t="s">
        <v>12</v>
      </c>
      <c r="L14" s="80" t="s">
        <v>142</v>
      </c>
      <c r="M14" s="81">
        <v>657.05</v>
      </c>
      <c r="N14" s="81">
        <v>723.59</v>
      </c>
      <c r="O14" s="81">
        <v>752.65</v>
      </c>
      <c r="P14" s="81">
        <v>905.52</v>
      </c>
      <c r="Q14" s="81">
        <v>888.19999999999993</v>
      </c>
      <c r="R14" s="81">
        <v>387.57</v>
      </c>
    </row>
    <row r="15" spans="1:18">
      <c r="A15" s="137"/>
      <c r="B15" s="80" t="s">
        <v>13</v>
      </c>
      <c r="C15" s="80" t="s">
        <v>143</v>
      </c>
      <c r="D15" s="81">
        <v>1027.57</v>
      </c>
      <c r="E15" s="81">
        <v>1006.72</v>
      </c>
      <c r="F15" s="81">
        <v>973.20999999999992</v>
      </c>
      <c r="G15" s="81">
        <v>963.62</v>
      </c>
      <c r="H15" s="81">
        <v>948.19999999999993</v>
      </c>
      <c r="I15" s="81">
        <v>503.71</v>
      </c>
      <c r="K15" s="80" t="s">
        <v>13</v>
      </c>
      <c r="L15" s="80" t="s">
        <v>143</v>
      </c>
      <c r="M15" s="81">
        <v>551.31999999999994</v>
      </c>
      <c r="N15" s="81">
        <v>598.27</v>
      </c>
      <c r="O15" s="81">
        <v>688.45999999999992</v>
      </c>
      <c r="P15" s="81">
        <v>631.91999999999996</v>
      </c>
      <c r="Q15" s="81">
        <v>618.98</v>
      </c>
      <c r="R15" s="81">
        <v>503.71</v>
      </c>
    </row>
    <row r="16" spans="1:18">
      <c r="A16" s="137"/>
      <c r="B16" s="80" t="s">
        <v>14</v>
      </c>
      <c r="C16" s="80" t="s">
        <v>144</v>
      </c>
      <c r="D16" s="81">
        <v>278.63</v>
      </c>
      <c r="E16" s="81">
        <v>245.75</v>
      </c>
      <c r="F16" s="81">
        <v>191.6</v>
      </c>
      <c r="G16" s="81">
        <v>186.1</v>
      </c>
      <c r="H16" s="81">
        <v>145.91999999999999</v>
      </c>
      <c r="I16" s="81">
        <v>92.75</v>
      </c>
      <c r="K16" s="80" t="s">
        <v>14</v>
      </c>
      <c r="L16" s="80" t="s">
        <v>144</v>
      </c>
      <c r="M16" s="81">
        <v>151.38</v>
      </c>
      <c r="N16" s="81">
        <v>122</v>
      </c>
      <c r="O16" s="81">
        <v>104.1</v>
      </c>
      <c r="P16" s="81">
        <v>91.25</v>
      </c>
      <c r="Q16" s="81">
        <v>74.17</v>
      </c>
      <c r="R16" s="81">
        <v>92.75</v>
      </c>
    </row>
    <row r="17" spans="1:18">
      <c r="A17" s="137"/>
      <c r="B17" s="80" t="s">
        <v>15</v>
      </c>
      <c r="C17" s="80" t="s">
        <v>145</v>
      </c>
      <c r="D17" s="81">
        <v>244.44</v>
      </c>
      <c r="E17" s="81">
        <v>264.55</v>
      </c>
      <c r="F17" s="81">
        <v>252.76999999999998</v>
      </c>
      <c r="G17" s="81">
        <v>309.41999999999996</v>
      </c>
      <c r="H17" s="81">
        <v>347.5</v>
      </c>
      <c r="I17" s="81">
        <v>97.05</v>
      </c>
      <c r="K17" s="80" t="s">
        <v>15</v>
      </c>
      <c r="L17" s="80" t="s">
        <v>145</v>
      </c>
      <c r="M17" s="81">
        <v>103.07</v>
      </c>
      <c r="N17" s="81">
        <v>161.05000000000001</v>
      </c>
      <c r="O17" s="81">
        <v>97.3</v>
      </c>
      <c r="P17" s="81">
        <v>196.22</v>
      </c>
      <c r="Q17" s="81">
        <v>185.5</v>
      </c>
      <c r="R17" s="81">
        <v>97.05</v>
      </c>
    </row>
    <row r="18" spans="1:18">
      <c r="A18" s="137"/>
      <c r="B18" s="80"/>
      <c r="C18" s="82"/>
      <c r="D18" s="18">
        <v>20529.919999999998</v>
      </c>
      <c r="E18" s="18">
        <v>19445.55</v>
      </c>
      <c r="F18" s="18">
        <v>21179.940000000002</v>
      </c>
      <c r="G18" s="18">
        <v>20783.25</v>
      </c>
      <c r="H18" s="18">
        <v>21849.489999999998</v>
      </c>
      <c r="I18" s="18">
        <v>9781.2599999999984</v>
      </c>
      <c r="K18" s="80"/>
      <c r="L18" s="82"/>
      <c r="M18" s="18">
        <v>12702.380000000001</v>
      </c>
      <c r="N18" s="18">
        <v>12116.679999999998</v>
      </c>
      <c r="O18" s="18">
        <v>13157.249999999998</v>
      </c>
      <c r="P18" s="18">
        <v>13220.16</v>
      </c>
      <c r="Q18" s="18">
        <v>13336.949999999999</v>
      </c>
      <c r="R18" s="18">
        <v>9781.2599999999984</v>
      </c>
    </row>
    <row r="21" spans="1:18" ht="23.4">
      <c r="A21" s="155" t="s">
        <v>54</v>
      </c>
      <c r="B21" s="73" t="s">
        <v>146</v>
      </c>
      <c r="C21" s="73" t="s">
        <v>147</v>
      </c>
      <c r="D21" s="73">
        <v>2021</v>
      </c>
      <c r="E21" s="73">
        <v>2022</v>
      </c>
      <c r="F21" s="73">
        <v>2023</v>
      </c>
      <c r="G21" s="73">
        <v>2024</v>
      </c>
      <c r="H21" s="73">
        <v>2025</v>
      </c>
      <c r="I21" s="73">
        <v>2026</v>
      </c>
      <c r="K21" s="73" t="s">
        <v>146</v>
      </c>
      <c r="L21" s="73" t="s">
        <v>147</v>
      </c>
      <c r="M21" s="73">
        <v>2021</v>
      </c>
      <c r="N21" s="73">
        <v>2022</v>
      </c>
      <c r="O21" s="73">
        <v>2023</v>
      </c>
      <c r="P21" s="73">
        <v>2024</v>
      </c>
      <c r="Q21" s="73">
        <v>2025</v>
      </c>
      <c r="R21" s="73">
        <v>2026</v>
      </c>
    </row>
    <row r="22" spans="1:18">
      <c r="A22" s="154"/>
      <c r="B22" s="74" t="s">
        <v>0</v>
      </c>
      <c r="C22" s="74" t="s">
        <v>131</v>
      </c>
      <c r="D22" s="75">
        <v>3732.63</v>
      </c>
      <c r="E22" s="75">
        <v>4136.49</v>
      </c>
      <c r="F22" s="75">
        <v>5048.9799999999996</v>
      </c>
      <c r="G22" s="75">
        <v>5851.14</v>
      </c>
      <c r="H22" s="75">
        <v>3791.3199999999997</v>
      </c>
      <c r="I22" s="75">
        <v>1441.34</v>
      </c>
      <c r="K22" s="74" t="s">
        <v>0</v>
      </c>
      <c r="L22" s="74" t="s">
        <v>131</v>
      </c>
      <c r="M22" s="75">
        <v>2245.59</v>
      </c>
      <c r="N22" s="75">
        <v>2271.6799999999998</v>
      </c>
      <c r="O22" s="75">
        <v>2758.5699999999997</v>
      </c>
      <c r="P22" s="75">
        <v>3513.37</v>
      </c>
      <c r="Q22" s="75">
        <v>2276.7600000000002</v>
      </c>
      <c r="R22" s="75">
        <v>1441.34</v>
      </c>
    </row>
    <row r="23" spans="1:18">
      <c r="A23" s="154"/>
      <c r="B23" s="74" t="s">
        <v>1</v>
      </c>
      <c r="C23" s="74" t="s">
        <v>130</v>
      </c>
      <c r="D23" s="75">
        <v>6939.33</v>
      </c>
      <c r="E23" s="75">
        <v>6626.45</v>
      </c>
      <c r="F23" s="75">
        <v>7381.1399999999994</v>
      </c>
      <c r="G23" s="75">
        <v>9540.0099999999984</v>
      </c>
      <c r="H23" s="75">
        <v>6862.87</v>
      </c>
      <c r="I23" s="75">
        <v>3529.23</v>
      </c>
      <c r="K23" s="74" t="s">
        <v>1</v>
      </c>
      <c r="L23" s="74" t="s">
        <v>130</v>
      </c>
      <c r="M23" s="75">
        <v>3812.1</v>
      </c>
      <c r="N23" s="75">
        <v>3373.17</v>
      </c>
      <c r="O23" s="75">
        <v>4168.2699999999995</v>
      </c>
      <c r="P23" s="75">
        <v>5508.0300000000007</v>
      </c>
      <c r="Q23" s="75">
        <v>3962.1500000000005</v>
      </c>
      <c r="R23" s="75">
        <v>3529.23</v>
      </c>
    </row>
    <row r="24" spans="1:18">
      <c r="A24" s="154"/>
      <c r="B24" s="74" t="s">
        <v>2</v>
      </c>
      <c r="C24" s="74" t="s">
        <v>132</v>
      </c>
      <c r="D24" s="75">
        <v>4133.6999999999989</v>
      </c>
      <c r="E24" s="75">
        <v>5277.6000000000013</v>
      </c>
      <c r="F24" s="75">
        <v>4467.1500000000005</v>
      </c>
      <c r="G24" s="75">
        <v>5094.96</v>
      </c>
      <c r="H24" s="75">
        <v>5448.83</v>
      </c>
      <c r="I24" s="75">
        <v>2213.2199999999998</v>
      </c>
      <c r="K24" s="74" t="s">
        <v>2</v>
      </c>
      <c r="L24" s="74" t="s">
        <v>132</v>
      </c>
      <c r="M24" s="75">
        <v>1961.49</v>
      </c>
      <c r="N24" s="75">
        <v>2583.6199999999994</v>
      </c>
      <c r="O24" s="75">
        <v>2608.0500000000002</v>
      </c>
      <c r="P24" s="75">
        <v>2639.0299999999997</v>
      </c>
      <c r="Q24" s="75">
        <v>2771.4300000000003</v>
      </c>
      <c r="R24" s="75">
        <v>2213.2199999999998</v>
      </c>
    </row>
    <row r="25" spans="1:18">
      <c r="A25" s="154"/>
      <c r="B25" s="74" t="s">
        <v>3</v>
      </c>
      <c r="C25" s="74" t="s">
        <v>133</v>
      </c>
      <c r="D25" s="75">
        <v>3715.8999999999996</v>
      </c>
      <c r="E25" s="75">
        <v>5863.4199999999992</v>
      </c>
      <c r="F25" s="75">
        <v>6478.8</v>
      </c>
      <c r="G25" s="75">
        <v>7518.86</v>
      </c>
      <c r="H25" s="75">
        <v>7497.87</v>
      </c>
      <c r="I25" s="75">
        <v>3040.5099999999993</v>
      </c>
      <c r="K25" s="74" t="s">
        <v>3</v>
      </c>
      <c r="L25" s="74" t="s">
        <v>133</v>
      </c>
      <c r="M25" s="75">
        <v>1709.9499999999998</v>
      </c>
      <c r="N25" s="75">
        <v>2591.37</v>
      </c>
      <c r="O25" s="75">
        <v>3336.02</v>
      </c>
      <c r="P25" s="75">
        <v>4441.9399999999996</v>
      </c>
      <c r="Q25" s="75">
        <v>4227.97</v>
      </c>
      <c r="R25" s="75">
        <v>3040.5099999999993</v>
      </c>
    </row>
    <row r="26" spans="1:18">
      <c r="A26" s="154"/>
      <c r="B26" s="74" t="s">
        <v>4</v>
      </c>
      <c r="C26" s="74" t="s">
        <v>134</v>
      </c>
      <c r="D26" s="75">
        <v>11947.449999999999</v>
      </c>
      <c r="E26" s="75">
        <v>18839.420000000002</v>
      </c>
      <c r="F26" s="75">
        <v>19230.98</v>
      </c>
      <c r="G26" s="75">
        <v>19760.13</v>
      </c>
      <c r="H26" s="75">
        <v>23967.329999999998</v>
      </c>
      <c r="I26" s="75">
        <v>9046.5</v>
      </c>
      <c r="K26" s="74" t="s">
        <v>4</v>
      </c>
      <c r="L26" s="74" t="s">
        <v>134</v>
      </c>
      <c r="M26" s="75">
        <v>5948.72</v>
      </c>
      <c r="N26" s="75">
        <v>11327.669999999998</v>
      </c>
      <c r="O26" s="75">
        <v>11155.039999999999</v>
      </c>
      <c r="P26" s="75">
        <v>12248.869999999999</v>
      </c>
      <c r="Q26" s="75">
        <v>14314.249999999998</v>
      </c>
      <c r="R26" s="75">
        <v>9046.5</v>
      </c>
    </row>
    <row r="27" spans="1:18">
      <c r="A27" s="154"/>
      <c r="B27" s="74" t="s">
        <v>5</v>
      </c>
      <c r="C27" s="74" t="s">
        <v>135</v>
      </c>
      <c r="D27" s="75">
        <v>3088.79</v>
      </c>
      <c r="E27" s="75">
        <v>3593.04</v>
      </c>
      <c r="F27" s="75">
        <v>4957.92</v>
      </c>
      <c r="G27" s="75">
        <v>3967.81</v>
      </c>
      <c r="H27" s="75">
        <v>5295.71</v>
      </c>
      <c r="I27" s="75">
        <v>3194.74</v>
      </c>
      <c r="K27" s="74" t="s">
        <v>5</v>
      </c>
      <c r="L27" s="74" t="s">
        <v>135</v>
      </c>
      <c r="M27" s="75">
        <v>1727.0899999999997</v>
      </c>
      <c r="N27" s="75">
        <v>2187.36</v>
      </c>
      <c r="O27" s="75">
        <v>3177.8999999999996</v>
      </c>
      <c r="P27" s="75">
        <v>2378.16</v>
      </c>
      <c r="Q27" s="75">
        <v>2910.56</v>
      </c>
      <c r="R27" s="75">
        <v>3194.74</v>
      </c>
    </row>
    <row r="28" spans="1:18">
      <c r="A28" s="154"/>
      <c r="B28" s="74" t="s">
        <v>6</v>
      </c>
      <c r="C28" s="74" t="s">
        <v>136</v>
      </c>
      <c r="D28" s="75">
        <v>2762.06</v>
      </c>
      <c r="E28" s="75">
        <v>3800.6099999999997</v>
      </c>
      <c r="F28" s="75">
        <v>4042.93</v>
      </c>
      <c r="G28" s="75">
        <v>4670.25</v>
      </c>
      <c r="H28" s="75">
        <v>4436.8499999999995</v>
      </c>
      <c r="I28" s="75">
        <v>2474.0799999999995</v>
      </c>
      <c r="K28" s="74" t="s">
        <v>6</v>
      </c>
      <c r="L28" s="74" t="s">
        <v>136</v>
      </c>
      <c r="M28" s="75">
        <v>1490.9</v>
      </c>
      <c r="N28" s="75">
        <v>2392.88</v>
      </c>
      <c r="O28" s="75">
        <v>2569.0299999999997</v>
      </c>
      <c r="P28" s="75">
        <v>2603.4700000000003</v>
      </c>
      <c r="Q28" s="75">
        <v>2498.6099999999997</v>
      </c>
      <c r="R28" s="75">
        <v>2474.0799999999995</v>
      </c>
    </row>
    <row r="29" spans="1:18">
      <c r="A29" s="154"/>
      <c r="B29" s="74" t="s">
        <v>7</v>
      </c>
      <c r="C29" s="74" t="s">
        <v>137</v>
      </c>
      <c r="D29" s="75">
        <v>3110.12</v>
      </c>
      <c r="E29" s="75">
        <v>4111.17</v>
      </c>
      <c r="F29" s="75">
        <v>4214.3899999999994</v>
      </c>
      <c r="G29" s="75">
        <v>3105.9</v>
      </c>
      <c r="H29" s="75">
        <v>2440.6799999999998</v>
      </c>
      <c r="I29" s="75">
        <v>1463.0800000000002</v>
      </c>
      <c r="K29" s="74" t="s">
        <v>7</v>
      </c>
      <c r="L29" s="74" t="s">
        <v>137</v>
      </c>
      <c r="M29" s="75">
        <v>1349.39</v>
      </c>
      <c r="N29" s="75">
        <v>2171.98</v>
      </c>
      <c r="O29" s="75">
        <v>2646.03</v>
      </c>
      <c r="P29" s="75">
        <v>1812.56</v>
      </c>
      <c r="Q29" s="75">
        <v>1548.53</v>
      </c>
      <c r="R29" s="75">
        <v>1463.0800000000002</v>
      </c>
    </row>
    <row r="30" spans="1:18">
      <c r="A30" s="154"/>
      <c r="B30" s="74" t="s">
        <v>8</v>
      </c>
      <c r="C30" s="74" t="s">
        <v>138</v>
      </c>
      <c r="D30" s="75">
        <v>3061.7200000000003</v>
      </c>
      <c r="E30" s="75">
        <v>2809.96</v>
      </c>
      <c r="F30" s="75">
        <v>2694.67</v>
      </c>
      <c r="G30" s="75">
        <v>2789.1400000000003</v>
      </c>
      <c r="H30" s="75">
        <v>3064.9499999999994</v>
      </c>
      <c r="I30" s="75">
        <v>1140.8999999999999</v>
      </c>
      <c r="K30" s="74" t="s">
        <v>8</v>
      </c>
      <c r="L30" s="74" t="s">
        <v>138</v>
      </c>
      <c r="M30" s="75">
        <v>1544.8000000000002</v>
      </c>
      <c r="N30" s="75">
        <v>1166.9000000000001</v>
      </c>
      <c r="O30" s="75">
        <v>1397.45</v>
      </c>
      <c r="P30" s="75">
        <v>1848.5700000000002</v>
      </c>
      <c r="Q30" s="75">
        <v>1749.5000000000002</v>
      </c>
      <c r="R30" s="75">
        <v>1140.8999999999999</v>
      </c>
    </row>
    <row r="31" spans="1:18">
      <c r="A31" s="154"/>
      <c r="B31" s="74" t="s">
        <v>9</v>
      </c>
      <c r="C31" s="74" t="s">
        <v>139</v>
      </c>
      <c r="D31" s="75">
        <v>607.09999999999991</v>
      </c>
      <c r="E31" s="75">
        <v>1311.02</v>
      </c>
      <c r="F31" s="75">
        <v>1238.28</v>
      </c>
      <c r="G31" s="75">
        <v>1370.01</v>
      </c>
      <c r="H31" s="75">
        <v>1315.55</v>
      </c>
      <c r="I31" s="75">
        <v>912.26</v>
      </c>
      <c r="K31" s="74" t="s">
        <v>9</v>
      </c>
      <c r="L31" s="74" t="s">
        <v>139</v>
      </c>
      <c r="M31" s="75">
        <v>228.75</v>
      </c>
      <c r="N31" s="75">
        <v>741.56999999999994</v>
      </c>
      <c r="O31" s="75">
        <v>716.43000000000006</v>
      </c>
      <c r="P31" s="75">
        <v>972.98</v>
      </c>
      <c r="Q31" s="75">
        <v>811.65</v>
      </c>
      <c r="R31" s="75">
        <v>912.26</v>
      </c>
    </row>
    <row r="32" spans="1:18">
      <c r="A32" s="154"/>
      <c r="B32" s="74" t="s">
        <v>10</v>
      </c>
      <c r="C32" s="74" t="s">
        <v>140</v>
      </c>
      <c r="D32" s="75">
        <v>3887.1</v>
      </c>
      <c r="E32" s="75">
        <v>5808.41</v>
      </c>
      <c r="F32" s="75">
        <v>7230.0599999999995</v>
      </c>
      <c r="G32" s="75">
        <v>6804.68</v>
      </c>
      <c r="H32" s="75">
        <v>5610.3499999999995</v>
      </c>
      <c r="I32" s="75">
        <v>2202.2799999999997</v>
      </c>
      <c r="K32" s="74" t="s">
        <v>10</v>
      </c>
      <c r="L32" s="74" t="s">
        <v>140</v>
      </c>
      <c r="M32" s="75">
        <v>1830.14</v>
      </c>
      <c r="N32" s="75">
        <v>2495.06</v>
      </c>
      <c r="O32" s="75">
        <v>3909.6800000000003</v>
      </c>
      <c r="P32" s="75">
        <v>3319.2300000000005</v>
      </c>
      <c r="Q32" s="75">
        <v>2681.55</v>
      </c>
      <c r="R32" s="75">
        <v>2202.2799999999997</v>
      </c>
    </row>
    <row r="33" spans="1:18">
      <c r="A33" s="154"/>
      <c r="B33" s="74" t="s">
        <v>11</v>
      </c>
      <c r="C33" s="74" t="s">
        <v>141</v>
      </c>
      <c r="D33" s="75">
        <v>2747.49</v>
      </c>
      <c r="E33" s="75">
        <v>4642.9800000000005</v>
      </c>
      <c r="F33" s="75">
        <v>6765.6100000000006</v>
      </c>
      <c r="G33" s="75">
        <v>5899.8099999999995</v>
      </c>
      <c r="H33" s="75">
        <v>6978.4000000000015</v>
      </c>
      <c r="I33" s="75">
        <v>1930.1999999999998</v>
      </c>
      <c r="K33" s="74" t="s">
        <v>11</v>
      </c>
      <c r="L33" s="74" t="s">
        <v>141</v>
      </c>
      <c r="M33" s="75">
        <v>1795.38</v>
      </c>
      <c r="N33" s="75">
        <v>2975.01</v>
      </c>
      <c r="O33" s="75">
        <v>3977.5599999999995</v>
      </c>
      <c r="P33" s="75">
        <v>3160.76</v>
      </c>
      <c r="Q33" s="75">
        <v>3869.55</v>
      </c>
      <c r="R33" s="75">
        <v>1930.1999999999998</v>
      </c>
    </row>
    <row r="34" spans="1:18">
      <c r="A34" s="154"/>
      <c r="B34" s="74" t="s">
        <v>12</v>
      </c>
      <c r="C34" s="74" t="s">
        <v>142</v>
      </c>
      <c r="D34" s="75">
        <v>2566.85</v>
      </c>
      <c r="E34" s="75">
        <v>4321.3900000000003</v>
      </c>
      <c r="F34" s="75">
        <v>11731.1</v>
      </c>
      <c r="G34" s="75">
        <v>9728.2300000000032</v>
      </c>
      <c r="H34" s="75">
        <v>6428.43</v>
      </c>
      <c r="I34" s="75">
        <v>2417.0099999999998</v>
      </c>
      <c r="K34" s="74" t="s">
        <v>12</v>
      </c>
      <c r="L34" s="74" t="s">
        <v>142</v>
      </c>
      <c r="M34" s="75">
        <v>1365.0900000000001</v>
      </c>
      <c r="N34" s="75">
        <v>2382.71</v>
      </c>
      <c r="O34" s="75">
        <v>5574.11</v>
      </c>
      <c r="P34" s="75">
        <v>6662.3700000000008</v>
      </c>
      <c r="Q34" s="75">
        <v>3582.4600000000005</v>
      </c>
      <c r="R34" s="75">
        <v>2417.0099999999998</v>
      </c>
    </row>
    <row r="35" spans="1:18">
      <c r="A35" s="154"/>
      <c r="B35" s="74" t="s">
        <v>13</v>
      </c>
      <c r="C35" s="74" t="s">
        <v>143</v>
      </c>
      <c r="D35" s="75">
        <v>4231.9599999999991</v>
      </c>
      <c r="E35" s="75">
        <v>8010.7199999999993</v>
      </c>
      <c r="F35" s="75">
        <v>5172.6499999999996</v>
      </c>
      <c r="G35" s="75">
        <v>4955.07</v>
      </c>
      <c r="H35" s="75">
        <v>3122.7000000000003</v>
      </c>
      <c r="I35" s="75">
        <v>1518.55</v>
      </c>
      <c r="K35" s="74" t="s">
        <v>13</v>
      </c>
      <c r="L35" s="74" t="s">
        <v>143</v>
      </c>
      <c r="M35" s="75">
        <v>2037.6100000000001</v>
      </c>
      <c r="N35" s="75">
        <v>2662.57</v>
      </c>
      <c r="O35" s="75">
        <v>3167.84</v>
      </c>
      <c r="P35" s="75">
        <v>2656.37</v>
      </c>
      <c r="Q35" s="75">
        <v>1900.95</v>
      </c>
      <c r="R35" s="75">
        <v>1518.55</v>
      </c>
    </row>
    <row r="36" spans="1:18">
      <c r="A36" s="154"/>
      <c r="B36" s="74" t="s">
        <v>14</v>
      </c>
      <c r="C36" s="74" t="s">
        <v>144</v>
      </c>
      <c r="D36" s="75">
        <v>398.6</v>
      </c>
      <c r="E36" s="75">
        <v>604.75</v>
      </c>
      <c r="F36" s="75">
        <v>1204.07</v>
      </c>
      <c r="G36" s="75">
        <v>950.25</v>
      </c>
      <c r="H36" s="75">
        <v>778.74</v>
      </c>
      <c r="I36" s="75">
        <v>376.75</v>
      </c>
      <c r="K36" s="74" t="s">
        <v>14</v>
      </c>
      <c r="L36" s="74" t="s">
        <v>144</v>
      </c>
      <c r="M36" s="75">
        <v>216.35</v>
      </c>
      <c r="N36" s="75">
        <v>349</v>
      </c>
      <c r="O36" s="75">
        <v>804.25</v>
      </c>
      <c r="P36" s="75">
        <v>635.75</v>
      </c>
      <c r="Q36" s="75">
        <v>444.99</v>
      </c>
      <c r="R36" s="75">
        <v>376.75</v>
      </c>
    </row>
    <row r="37" spans="1:18">
      <c r="A37" s="154"/>
      <c r="B37" s="74" t="s">
        <v>15</v>
      </c>
      <c r="C37" s="74" t="s">
        <v>145</v>
      </c>
      <c r="D37" s="75">
        <v>402.1</v>
      </c>
      <c r="E37" s="75">
        <v>789.2</v>
      </c>
      <c r="F37" s="75">
        <v>755.4</v>
      </c>
      <c r="G37" s="75">
        <v>906.48</v>
      </c>
      <c r="H37" s="75">
        <v>1041.0999999999999</v>
      </c>
      <c r="I37" s="75">
        <v>208.07999999999998</v>
      </c>
      <c r="K37" s="74" t="s">
        <v>15</v>
      </c>
      <c r="L37" s="74" t="s">
        <v>145</v>
      </c>
      <c r="M37" s="75">
        <v>239.95</v>
      </c>
      <c r="N37" s="75">
        <v>578.20000000000005</v>
      </c>
      <c r="O37" s="75">
        <v>527.15</v>
      </c>
      <c r="P37" s="75">
        <v>552.34999999999991</v>
      </c>
      <c r="Q37" s="75">
        <v>806.6</v>
      </c>
      <c r="R37" s="75">
        <v>208.07999999999998</v>
      </c>
    </row>
    <row r="38" spans="1:18">
      <c r="A38" s="154"/>
      <c r="B38" s="74"/>
      <c r="C38" s="76"/>
      <c r="D38" s="78">
        <v>57332.899999999987</v>
      </c>
      <c r="E38" s="78">
        <v>80546.62999999999</v>
      </c>
      <c r="F38" s="78">
        <v>92614.13</v>
      </c>
      <c r="G38" s="78">
        <v>92912.73</v>
      </c>
      <c r="H38" s="78">
        <v>88081.68</v>
      </c>
      <c r="I38" s="78">
        <v>37108.730000000003</v>
      </c>
      <c r="K38" s="74"/>
      <c r="L38" s="76"/>
      <c r="M38" s="78">
        <v>29503.300000000003</v>
      </c>
      <c r="N38" s="78">
        <v>42250.75</v>
      </c>
      <c r="O38" s="78">
        <v>52493.38</v>
      </c>
      <c r="P38" s="78">
        <v>54953.810000000005</v>
      </c>
      <c r="Q38" s="78">
        <v>50357.509999999995</v>
      </c>
      <c r="R38" s="78">
        <v>37108.730000000003</v>
      </c>
    </row>
    <row r="40" spans="1:18">
      <c r="A40" s="71"/>
    </row>
    <row r="41" spans="1:18" ht="23.4">
      <c r="A41" s="156" t="s">
        <v>57</v>
      </c>
      <c r="B41" s="65" t="s">
        <v>146</v>
      </c>
      <c r="C41" s="65" t="s">
        <v>147</v>
      </c>
      <c r="D41" s="65">
        <v>2021</v>
      </c>
      <c r="E41" s="65">
        <v>2022</v>
      </c>
      <c r="F41" s="65">
        <v>2023</v>
      </c>
      <c r="G41" s="65">
        <v>2024</v>
      </c>
      <c r="H41" s="65">
        <v>2025</v>
      </c>
      <c r="I41" s="65">
        <v>2026</v>
      </c>
      <c r="K41" s="65" t="s">
        <v>146</v>
      </c>
      <c r="L41" s="65" t="s">
        <v>147</v>
      </c>
      <c r="M41" s="65">
        <v>2021</v>
      </c>
      <c r="N41" s="65">
        <v>2022</v>
      </c>
      <c r="O41" s="65">
        <v>2023</v>
      </c>
      <c r="P41" s="65">
        <v>2024</v>
      </c>
      <c r="Q41" s="65">
        <v>2025</v>
      </c>
      <c r="R41" s="65">
        <v>2026</v>
      </c>
    </row>
    <row r="42" spans="1:18">
      <c r="A42" s="157"/>
      <c r="B42" s="66" t="s">
        <v>0</v>
      </c>
      <c r="C42" s="66" t="s">
        <v>131</v>
      </c>
      <c r="D42" s="67">
        <v>5504.5</v>
      </c>
      <c r="E42" s="67">
        <v>9808.25</v>
      </c>
      <c r="F42" s="67">
        <v>8001.75</v>
      </c>
      <c r="G42" s="67">
        <v>9139.18</v>
      </c>
      <c r="H42" s="67">
        <v>8650.5499999999993</v>
      </c>
      <c r="I42" s="67">
        <v>3602.6600000000003</v>
      </c>
      <c r="K42" s="66" t="s">
        <v>0</v>
      </c>
      <c r="L42" s="66" t="s">
        <v>131</v>
      </c>
      <c r="M42" s="67">
        <v>2163.8000000000002</v>
      </c>
      <c r="N42" s="67">
        <v>4772.45</v>
      </c>
      <c r="O42" s="67">
        <v>3970</v>
      </c>
      <c r="P42" s="67">
        <v>4978.1499999999996</v>
      </c>
      <c r="Q42" s="67">
        <v>4403.84</v>
      </c>
      <c r="R42" s="67">
        <v>3602.6600000000003</v>
      </c>
    </row>
    <row r="43" spans="1:18">
      <c r="A43" s="157"/>
      <c r="B43" s="66" t="s">
        <v>1</v>
      </c>
      <c r="C43" s="66" t="s">
        <v>130</v>
      </c>
      <c r="D43" s="67">
        <v>11762.83</v>
      </c>
      <c r="E43" s="67">
        <v>5249.8899999999994</v>
      </c>
      <c r="F43" s="67">
        <v>3589.75</v>
      </c>
      <c r="G43" s="67">
        <v>3836.9</v>
      </c>
      <c r="H43" s="67">
        <v>4169</v>
      </c>
      <c r="I43" s="67">
        <v>1442.9</v>
      </c>
      <c r="K43" s="66" t="s">
        <v>1</v>
      </c>
      <c r="L43" s="66" t="s">
        <v>130</v>
      </c>
      <c r="M43" s="67">
        <v>5713.75</v>
      </c>
      <c r="N43" s="67">
        <v>3120.22</v>
      </c>
      <c r="O43" s="67">
        <v>1746.7</v>
      </c>
      <c r="P43" s="67">
        <v>1743.75</v>
      </c>
      <c r="Q43" s="67">
        <v>2362.75</v>
      </c>
      <c r="R43" s="67">
        <v>1442.9</v>
      </c>
    </row>
    <row r="44" spans="1:18">
      <c r="A44" s="157"/>
      <c r="B44" s="66" t="s">
        <v>2</v>
      </c>
      <c r="C44" s="66" t="s">
        <v>132</v>
      </c>
      <c r="D44" s="67">
        <v>5635.52</v>
      </c>
      <c r="E44" s="67">
        <v>7398.3399999999992</v>
      </c>
      <c r="F44" s="67">
        <v>9140.52</v>
      </c>
      <c r="G44" s="67">
        <v>8346.18</v>
      </c>
      <c r="H44" s="67">
        <v>8011.1400000000012</v>
      </c>
      <c r="I44" s="67">
        <v>2378.5</v>
      </c>
      <c r="K44" s="66" t="s">
        <v>2</v>
      </c>
      <c r="L44" s="66" t="s">
        <v>132</v>
      </c>
      <c r="M44" s="67">
        <v>2322.3000000000002</v>
      </c>
      <c r="N44" s="67">
        <v>3423.1000000000004</v>
      </c>
      <c r="O44" s="67">
        <v>4502.3799999999992</v>
      </c>
      <c r="P44" s="67">
        <v>4766.8500000000004</v>
      </c>
      <c r="Q44" s="67">
        <v>4482.96</v>
      </c>
      <c r="R44" s="67">
        <v>2378.5</v>
      </c>
    </row>
    <row r="45" spans="1:18">
      <c r="A45" s="157"/>
      <c r="B45" s="66" t="s">
        <v>3</v>
      </c>
      <c r="C45" s="66" t="s">
        <v>133</v>
      </c>
      <c r="D45" s="67">
        <v>6723.71</v>
      </c>
      <c r="E45" s="67">
        <v>7821.7400000000007</v>
      </c>
      <c r="F45" s="67">
        <v>10598.56</v>
      </c>
      <c r="G45" s="67">
        <v>11326.73</v>
      </c>
      <c r="H45" s="67">
        <v>13826.630000000001</v>
      </c>
      <c r="I45" s="67">
        <v>5491.7999999999993</v>
      </c>
      <c r="K45" s="66" t="s">
        <v>3</v>
      </c>
      <c r="L45" s="66" t="s">
        <v>133</v>
      </c>
      <c r="M45" s="67">
        <v>3613.01</v>
      </c>
      <c r="N45" s="67">
        <v>3177.4199999999996</v>
      </c>
      <c r="O45" s="67">
        <v>5814.8499999999985</v>
      </c>
      <c r="P45" s="67">
        <v>5115.13</v>
      </c>
      <c r="Q45" s="67">
        <v>6972.59</v>
      </c>
      <c r="R45" s="67">
        <v>5491.7999999999993</v>
      </c>
    </row>
    <row r="46" spans="1:18">
      <c r="A46" s="157"/>
      <c r="B46" s="66" t="s">
        <v>4</v>
      </c>
      <c r="C46" s="66" t="s">
        <v>134</v>
      </c>
      <c r="D46" s="67">
        <v>13072.440000000002</v>
      </c>
      <c r="E46" s="67">
        <v>15090.87</v>
      </c>
      <c r="F46" s="67">
        <v>15035.529999999999</v>
      </c>
      <c r="G46" s="67">
        <v>14796.95</v>
      </c>
      <c r="H46" s="67">
        <v>16863.879999999997</v>
      </c>
      <c r="I46" s="67">
        <v>6963.34</v>
      </c>
      <c r="K46" s="66" t="s">
        <v>4</v>
      </c>
      <c r="L46" s="66" t="s">
        <v>134</v>
      </c>
      <c r="M46" s="67">
        <v>6835.1600000000017</v>
      </c>
      <c r="N46" s="67">
        <v>7664.93</v>
      </c>
      <c r="O46" s="67">
        <v>7028.4499999999989</v>
      </c>
      <c r="P46" s="67">
        <v>7435.78</v>
      </c>
      <c r="Q46" s="67">
        <v>8719.09</v>
      </c>
      <c r="R46" s="67">
        <v>6963.34</v>
      </c>
    </row>
    <row r="47" spans="1:18">
      <c r="A47" s="157"/>
      <c r="B47" s="66" t="s">
        <v>5</v>
      </c>
      <c r="C47" s="66" t="s">
        <v>135</v>
      </c>
      <c r="D47" s="67">
        <v>4461.33</v>
      </c>
      <c r="E47" s="67">
        <v>5175.13</v>
      </c>
      <c r="F47" s="67">
        <v>3847.43</v>
      </c>
      <c r="G47" s="67">
        <v>4051.95</v>
      </c>
      <c r="H47" s="67">
        <v>2964.7400000000002</v>
      </c>
      <c r="I47" s="67">
        <v>1716.13</v>
      </c>
      <c r="K47" s="66" t="s">
        <v>5</v>
      </c>
      <c r="L47" s="66" t="s">
        <v>135</v>
      </c>
      <c r="M47" s="67">
        <v>2453.4</v>
      </c>
      <c r="N47" s="67">
        <v>2318.6800000000003</v>
      </c>
      <c r="O47" s="67">
        <v>1899.25</v>
      </c>
      <c r="P47" s="67">
        <v>1944.6</v>
      </c>
      <c r="Q47" s="67">
        <v>1252.26</v>
      </c>
      <c r="R47" s="67">
        <v>1716.13</v>
      </c>
    </row>
    <row r="48" spans="1:18">
      <c r="A48" s="157"/>
      <c r="B48" s="66" t="s">
        <v>6</v>
      </c>
      <c r="C48" s="66" t="s">
        <v>136</v>
      </c>
      <c r="D48" s="67">
        <v>632.1</v>
      </c>
      <c r="E48" s="67">
        <v>623.95000000000005</v>
      </c>
      <c r="F48" s="67">
        <v>507</v>
      </c>
      <c r="G48" s="67">
        <v>491</v>
      </c>
      <c r="H48" s="67">
        <v>622.25</v>
      </c>
      <c r="I48" s="67">
        <v>329.75</v>
      </c>
      <c r="K48" s="66" t="s">
        <v>6</v>
      </c>
      <c r="L48" s="66" t="s">
        <v>136</v>
      </c>
      <c r="M48" s="67">
        <v>284.55</v>
      </c>
      <c r="N48" s="67">
        <v>277.2</v>
      </c>
      <c r="O48" s="67">
        <v>317</v>
      </c>
      <c r="P48" s="67">
        <v>179</v>
      </c>
      <c r="Q48" s="67">
        <v>305</v>
      </c>
      <c r="R48" s="67">
        <v>329.75</v>
      </c>
    </row>
    <row r="49" spans="1:18">
      <c r="A49" s="157"/>
      <c r="B49" s="66" t="s">
        <v>7</v>
      </c>
      <c r="C49" s="66" t="s">
        <v>137</v>
      </c>
      <c r="D49" s="67">
        <v>882.3</v>
      </c>
      <c r="E49" s="67">
        <v>888.08</v>
      </c>
      <c r="F49" s="67">
        <v>404.95000000000005</v>
      </c>
      <c r="G49" s="67">
        <v>606.5</v>
      </c>
      <c r="H49" s="67">
        <v>1295.1500000000001</v>
      </c>
      <c r="I49" s="67">
        <v>288.45</v>
      </c>
      <c r="K49" s="66" t="s">
        <v>7</v>
      </c>
      <c r="L49" s="66" t="s">
        <v>137</v>
      </c>
      <c r="M49" s="67">
        <v>325.89999999999998</v>
      </c>
      <c r="N49" s="67">
        <v>400.08</v>
      </c>
      <c r="O49" s="67">
        <v>291.91999999999996</v>
      </c>
      <c r="P49" s="67">
        <v>41.5</v>
      </c>
      <c r="Q49" s="67">
        <v>719.15</v>
      </c>
      <c r="R49" s="67">
        <v>288.45</v>
      </c>
    </row>
    <row r="50" spans="1:18">
      <c r="A50" s="157"/>
      <c r="B50" s="66" t="s">
        <v>8</v>
      </c>
      <c r="C50" s="66" t="s">
        <v>138</v>
      </c>
      <c r="D50" s="67">
        <v>5022.08</v>
      </c>
      <c r="E50" s="67">
        <v>7210.5599999999995</v>
      </c>
      <c r="F50" s="67">
        <v>3785.8600000000015</v>
      </c>
      <c r="G50" s="67">
        <v>1828.4400000000003</v>
      </c>
      <c r="H50" s="67">
        <v>3259.7000000000016</v>
      </c>
      <c r="I50" s="67">
        <v>1248.9699999999998</v>
      </c>
      <c r="K50" s="66" t="s">
        <v>8</v>
      </c>
      <c r="L50" s="66" t="s">
        <v>138</v>
      </c>
      <c r="M50" s="67">
        <v>1668.5</v>
      </c>
      <c r="N50" s="67">
        <v>3533.8799999999992</v>
      </c>
      <c r="O50" s="67">
        <v>1872.3000000000002</v>
      </c>
      <c r="P50" s="67">
        <v>993.34999999999991</v>
      </c>
      <c r="Q50" s="67">
        <v>1675.3200000000002</v>
      </c>
      <c r="R50" s="67">
        <v>1248.9699999999998</v>
      </c>
    </row>
    <row r="51" spans="1:18">
      <c r="A51" s="157"/>
      <c r="B51" s="66" t="s">
        <v>9</v>
      </c>
      <c r="C51" s="66" t="s">
        <v>139</v>
      </c>
      <c r="D51" s="67">
        <v>1505.35</v>
      </c>
      <c r="E51" s="67">
        <v>1296.75</v>
      </c>
      <c r="F51" s="67">
        <v>1224.3</v>
      </c>
      <c r="G51" s="67">
        <v>1550.31</v>
      </c>
      <c r="H51" s="67">
        <v>2483.8000000000002</v>
      </c>
      <c r="I51" s="67">
        <v>630.08000000000004</v>
      </c>
      <c r="K51" s="66" t="s">
        <v>9</v>
      </c>
      <c r="L51" s="66" t="s">
        <v>139</v>
      </c>
      <c r="M51" s="67">
        <v>622.4</v>
      </c>
      <c r="N51" s="67">
        <v>666.7</v>
      </c>
      <c r="O51" s="67">
        <v>658.45</v>
      </c>
      <c r="P51" s="67">
        <v>589.92999999999995</v>
      </c>
      <c r="Q51" s="67">
        <v>1260.6499999999999</v>
      </c>
      <c r="R51" s="67">
        <v>630.08000000000004</v>
      </c>
    </row>
    <row r="52" spans="1:18">
      <c r="A52" s="157"/>
      <c r="B52" s="66" t="s">
        <v>10</v>
      </c>
      <c r="C52" s="66" t="s">
        <v>140</v>
      </c>
      <c r="D52" s="67">
        <v>3546.79</v>
      </c>
      <c r="E52" s="67">
        <v>4030.9</v>
      </c>
      <c r="F52" s="67">
        <v>3306.87</v>
      </c>
      <c r="G52" s="67">
        <v>3279.94</v>
      </c>
      <c r="H52" s="67">
        <v>2961.43</v>
      </c>
      <c r="I52" s="67">
        <v>1295.92</v>
      </c>
      <c r="K52" s="66" t="s">
        <v>10</v>
      </c>
      <c r="L52" s="66" t="s">
        <v>140</v>
      </c>
      <c r="M52" s="67">
        <v>1434.55</v>
      </c>
      <c r="N52" s="67">
        <v>1736.35</v>
      </c>
      <c r="O52" s="67">
        <v>1580.72</v>
      </c>
      <c r="P52" s="67">
        <v>1443.75</v>
      </c>
      <c r="Q52" s="67">
        <v>1346.83</v>
      </c>
      <c r="R52" s="67">
        <v>1295.92</v>
      </c>
    </row>
    <row r="53" spans="1:18">
      <c r="A53" s="157"/>
      <c r="B53" s="66" t="s">
        <v>11</v>
      </c>
      <c r="C53" s="66" t="s">
        <v>141</v>
      </c>
      <c r="D53" s="67">
        <v>5817.8899999999994</v>
      </c>
      <c r="E53" s="67">
        <v>4364.6900000000005</v>
      </c>
      <c r="F53" s="67">
        <v>5806.07</v>
      </c>
      <c r="G53" s="67">
        <v>6814.85</v>
      </c>
      <c r="H53" s="67">
        <v>6893.68</v>
      </c>
      <c r="I53" s="67">
        <v>2507.1999999999998</v>
      </c>
      <c r="K53" s="66" t="s">
        <v>11</v>
      </c>
      <c r="L53" s="66" t="s">
        <v>141</v>
      </c>
      <c r="M53" s="67">
        <v>2664.6299999999997</v>
      </c>
      <c r="N53" s="67">
        <v>2308.6499999999996</v>
      </c>
      <c r="O53" s="67">
        <v>2984.02</v>
      </c>
      <c r="P53" s="67">
        <v>3560.8</v>
      </c>
      <c r="Q53" s="67">
        <v>2449.4</v>
      </c>
      <c r="R53" s="67">
        <v>2507.1999999999998</v>
      </c>
    </row>
    <row r="54" spans="1:18">
      <c r="A54" s="157"/>
      <c r="B54" s="66" t="s">
        <v>12</v>
      </c>
      <c r="C54" s="66" t="s">
        <v>142</v>
      </c>
      <c r="D54" s="67">
        <v>3545.7100000000005</v>
      </c>
      <c r="E54" s="67">
        <v>3506.31</v>
      </c>
      <c r="F54" s="67">
        <v>3248.58</v>
      </c>
      <c r="G54" s="67">
        <v>3892.35</v>
      </c>
      <c r="H54" s="67">
        <v>4274.54</v>
      </c>
      <c r="I54" s="67">
        <v>1679.99</v>
      </c>
      <c r="K54" s="66" t="s">
        <v>12</v>
      </c>
      <c r="L54" s="66" t="s">
        <v>142</v>
      </c>
      <c r="M54" s="67">
        <v>1765.42</v>
      </c>
      <c r="N54" s="67">
        <v>1916.7</v>
      </c>
      <c r="O54" s="67">
        <v>1545.75</v>
      </c>
      <c r="P54" s="67">
        <v>1874.5</v>
      </c>
      <c r="Q54" s="67">
        <v>2377.69</v>
      </c>
      <c r="R54" s="67">
        <v>1679.99</v>
      </c>
    </row>
    <row r="55" spans="1:18">
      <c r="A55" s="157"/>
      <c r="B55" s="66" t="s">
        <v>13</v>
      </c>
      <c r="C55" s="66" t="s">
        <v>143</v>
      </c>
      <c r="D55" s="67">
        <v>3117.6</v>
      </c>
      <c r="E55" s="67">
        <v>4906.1000000000004</v>
      </c>
      <c r="F55" s="67">
        <v>3694</v>
      </c>
      <c r="G55" s="67">
        <v>5159.16</v>
      </c>
      <c r="H55" s="67">
        <v>3904</v>
      </c>
      <c r="I55" s="67">
        <v>1835.75</v>
      </c>
      <c r="K55" s="66" t="s">
        <v>13</v>
      </c>
      <c r="L55" s="66" t="s">
        <v>143</v>
      </c>
      <c r="M55" s="67">
        <v>1496.75</v>
      </c>
      <c r="N55" s="67">
        <v>1788.55</v>
      </c>
      <c r="O55" s="67">
        <v>2140.0500000000002</v>
      </c>
      <c r="P55" s="67">
        <v>2910.16</v>
      </c>
      <c r="Q55" s="67">
        <v>2246.5</v>
      </c>
      <c r="R55" s="67">
        <v>1835.75</v>
      </c>
    </row>
    <row r="56" spans="1:18">
      <c r="A56" s="157"/>
      <c r="B56" s="66" t="s">
        <v>14</v>
      </c>
      <c r="C56" s="66" t="s">
        <v>144</v>
      </c>
      <c r="D56" s="67">
        <v>790.75</v>
      </c>
      <c r="E56" s="67">
        <v>825.25</v>
      </c>
      <c r="F56" s="67">
        <v>1237.56</v>
      </c>
      <c r="G56" s="67">
        <v>2386.29</v>
      </c>
      <c r="H56" s="67">
        <v>1247.25</v>
      </c>
      <c r="I56" s="67">
        <v>469.75</v>
      </c>
      <c r="K56" s="66" t="s">
        <v>14</v>
      </c>
      <c r="L56" s="66" t="s">
        <v>144</v>
      </c>
      <c r="M56" s="67">
        <v>390.25</v>
      </c>
      <c r="N56" s="67">
        <v>360.25</v>
      </c>
      <c r="O56" s="67">
        <v>411.5</v>
      </c>
      <c r="P56" s="67">
        <v>1233.46</v>
      </c>
      <c r="Q56" s="67">
        <v>652.5</v>
      </c>
      <c r="R56" s="67">
        <v>469.75</v>
      </c>
    </row>
    <row r="57" spans="1:18">
      <c r="A57" s="157"/>
      <c r="B57" s="66" t="s">
        <v>15</v>
      </c>
      <c r="C57" s="66" t="s">
        <v>145</v>
      </c>
      <c r="D57" s="67">
        <v>671.45</v>
      </c>
      <c r="E57" s="67">
        <v>394</v>
      </c>
      <c r="F57" s="67">
        <v>58.75</v>
      </c>
      <c r="G57" s="67">
        <v>2.5</v>
      </c>
      <c r="H57" s="67">
        <v>427.75</v>
      </c>
      <c r="I57" s="67">
        <v>24</v>
      </c>
      <c r="K57" s="66" t="s">
        <v>15</v>
      </c>
      <c r="L57" s="66" t="s">
        <v>145</v>
      </c>
      <c r="M57" s="67">
        <v>438.45</v>
      </c>
      <c r="N57" s="67">
        <v>237</v>
      </c>
      <c r="O57" s="67">
        <v>32.75</v>
      </c>
      <c r="P57" s="67">
        <v>2.5</v>
      </c>
      <c r="Q57" s="67">
        <v>256.5</v>
      </c>
      <c r="R57" s="67">
        <v>24</v>
      </c>
    </row>
    <row r="58" spans="1:18">
      <c r="A58" s="157"/>
      <c r="B58" s="66"/>
      <c r="C58" s="68"/>
      <c r="D58" s="70">
        <v>72692.350000000006</v>
      </c>
      <c r="E58" s="70">
        <v>78590.81</v>
      </c>
      <c r="F58" s="70">
        <v>73487.48</v>
      </c>
      <c r="G58" s="70">
        <v>77509.23000000001</v>
      </c>
      <c r="H58" s="70">
        <v>81855.490000000005</v>
      </c>
      <c r="I58" s="70">
        <v>31905.19000000001</v>
      </c>
      <c r="K58" s="66"/>
      <c r="L58" s="68"/>
      <c r="M58" s="70">
        <v>34192.820000000007</v>
      </c>
      <c r="N58" s="70">
        <v>37702.160000000003</v>
      </c>
      <c r="O58" s="70">
        <v>36796.089999999997</v>
      </c>
      <c r="P58" s="70">
        <v>38813.21</v>
      </c>
      <c r="Q58" s="70">
        <v>41483.030000000006</v>
      </c>
      <c r="R58" s="70">
        <v>31905.19000000001</v>
      </c>
    </row>
    <row r="60" spans="1:18">
      <c r="B60" s="71"/>
    </row>
    <row r="61" spans="1:18" ht="23.4">
      <c r="A61" s="156" t="s">
        <v>58</v>
      </c>
      <c r="B61" s="65" t="s">
        <v>146</v>
      </c>
      <c r="C61" s="65" t="s">
        <v>147</v>
      </c>
      <c r="D61" s="65">
        <v>2021</v>
      </c>
      <c r="E61" s="65">
        <v>2022</v>
      </c>
      <c r="F61" s="65">
        <v>2023</v>
      </c>
      <c r="G61" s="65">
        <v>2024</v>
      </c>
      <c r="H61" s="65">
        <v>2025</v>
      </c>
      <c r="I61" s="65">
        <v>2026</v>
      </c>
      <c r="K61" s="65" t="s">
        <v>146</v>
      </c>
      <c r="L61" s="65" t="s">
        <v>147</v>
      </c>
      <c r="M61" s="65">
        <v>2021</v>
      </c>
      <c r="N61" s="65">
        <v>2022</v>
      </c>
      <c r="O61" s="65">
        <v>2023</v>
      </c>
      <c r="P61" s="65">
        <v>2024</v>
      </c>
      <c r="Q61" s="65">
        <v>2025</v>
      </c>
      <c r="R61" s="65">
        <v>2026</v>
      </c>
    </row>
    <row r="62" spans="1:18">
      <c r="A62" s="157"/>
      <c r="B62" s="66" t="s">
        <v>0</v>
      </c>
      <c r="C62" s="66" t="s">
        <v>131</v>
      </c>
      <c r="D62" s="67">
        <v>2100.2000000000003</v>
      </c>
      <c r="E62" s="67">
        <v>1893.7</v>
      </c>
      <c r="F62" s="67">
        <v>2218.0499999999997</v>
      </c>
      <c r="G62" s="67">
        <v>2423.58</v>
      </c>
      <c r="H62" s="67">
        <v>1742.6</v>
      </c>
      <c r="I62" s="67">
        <v>495.2</v>
      </c>
      <c r="K62" s="66" t="s">
        <v>0</v>
      </c>
      <c r="L62" s="66" t="s">
        <v>131</v>
      </c>
      <c r="M62" s="67">
        <v>1137.6500000000001</v>
      </c>
      <c r="N62" s="67">
        <v>753.3</v>
      </c>
      <c r="O62" s="67">
        <v>1101.75</v>
      </c>
      <c r="P62" s="67">
        <v>1266.58</v>
      </c>
      <c r="Q62" s="67">
        <v>1006.05</v>
      </c>
      <c r="R62" s="67">
        <v>495.2</v>
      </c>
    </row>
    <row r="63" spans="1:18">
      <c r="A63" s="157"/>
      <c r="B63" s="66" t="s">
        <v>1</v>
      </c>
      <c r="C63" s="66" t="s">
        <v>130</v>
      </c>
      <c r="D63" s="67">
        <v>1344.5</v>
      </c>
      <c r="E63" s="67">
        <v>2798.170000000001</v>
      </c>
      <c r="F63" s="67">
        <v>4606.3599999999997</v>
      </c>
      <c r="G63" s="67">
        <v>4701.7700000000004</v>
      </c>
      <c r="H63" s="67">
        <v>4083.41</v>
      </c>
      <c r="I63" s="67">
        <v>1081.45</v>
      </c>
      <c r="K63" s="66" t="s">
        <v>1</v>
      </c>
      <c r="L63" s="66" t="s">
        <v>130</v>
      </c>
      <c r="M63" s="67">
        <v>860.25</v>
      </c>
      <c r="N63" s="67">
        <v>1212.8699999999999</v>
      </c>
      <c r="O63" s="67">
        <v>2343.25</v>
      </c>
      <c r="P63" s="67">
        <v>1990.67</v>
      </c>
      <c r="Q63" s="67">
        <v>1930.0900000000001</v>
      </c>
      <c r="R63" s="67">
        <v>1081.45</v>
      </c>
    </row>
    <row r="64" spans="1:18">
      <c r="A64" s="157"/>
      <c r="B64" s="66" t="s">
        <v>2</v>
      </c>
      <c r="C64" s="66" t="s">
        <v>132</v>
      </c>
      <c r="D64" s="67">
        <v>2903.42</v>
      </c>
      <c r="E64" s="67">
        <v>2926.75</v>
      </c>
      <c r="F64" s="67">
        <v>1373.75</v>
      </c>
      <c r="G64" s="67">
        <v>446.45</v>
      </c>
      <c r="H64" s="67">
        <v>590.25</v>
      </c>
      <c r="I64" s="67">
        <v>573.75</v>
      </c>
      <c r="K64" s="66" t="s">
        <v>2</v>
      </c>
      <c r="L64" s="66" t="s">
        <v>132</v>
      </c>
      <c r="M64" s="67">
        <v>1277.82</v>
      </c>
      <c r="N64" s="67">
        <v>1868.75</v>
      </c>
      <c r="O64" s="67">
        <v>738</v>
      </c>
      <c r="P64" s="67">
        <v>323</v>
      </c>
      <c r="Q64" s="67">
        <v>293</v>
      </c>
      <c r="R64" s="67">
        <v>573.75</v>
      </c>
    </row>
    <row r="65" spans="1:18">
      <c r="A65" s="157"/>
      <c r="B65" s="66" t="s">
        <v>3</v>
      </c>
      <c r="C65" s="66" t="s">
        <v>133</v>
      </c>
      <c r="D65" s="67">
        <v>1430.9</v>
      </c>
      <c r="E65" s="67">
        <v>1993.4</v>
      </c>
      <c r="F65" s="67">
        <v>2148.6499999999996</v>
      </c>
      <c r="G65" s="67">
        <v>2001.5500000000002</v>
      </c>
      <c r="H65" s="67">
        <v>1828.08</v>
      </c>
      <c r="I65" s="67">
        <v>706.62</v>
      </c>
      <c r="K65" s="66" t="s">
        <v>3</v>
      </c>
      <c r="L65" s="66" t="s">
        <v>133</v>
      </c>
      <c r="M65" s="67">
        <v>694.1</v>
      </c>
      <c r="N65" s="67">
        <v>1086.45</v>
      </c>
      <c r="O65" s="67">
        <v>1180</v>
      </c>
      <c r="P65" s="67">
        <v>985.7</v>
      </c>
      <c r="Q65" s="67">
        <v>1149.08</v>
      </c>
      <c r="R65" s="67">
        <v>706.62</v>
      </c>
    </row>
    <row r="66" spans="1:18">
      <c r="A66" s="157"/>
      <c r="B66" s="66" t="s">
        <v>4</v>
      </c>
      <c r="C66" s="66" t="s">
        <v>134</v>
      </c>
      <c r="D66" s="67">
        <v>4966.4900000000007</v>
      </c>
      <c r="E66" s="67">
        <v>3785.32</v>
      </c>
      <c r="F66" s="67">
        <v>3901.9</v>
      </c>
      <c r="G66" s="67">
        <v>4149.55</v>
      </c>
      <c r="H66" s="67">
        <v>4553.8</v>
      </c>
      <c r="I66" s="67">
        <v>848.05</v>
      </c>
      <c r="K66" s="66" t="s">
        <v>4</v>
      </c>
      <c r="L66" s="66" t="s">
        <v>134</v>
      </c>
      <c r="M66" s="67">
        <v>2311.4700000000003</v>
      </c>
      <c r="N66" s="67">
        <v>2178.35</v>
      </c>
      <c r="O66" s="67">
        <v>1618.6</v>
      </c>
      <c r="P66" s="67">
        <v>2728.8</v>
      </c>
      <c r="Q66" s="67">
        <v>2667.75</v>
      </c>
      <c r="R66" s="67">
        <v>848.05</v>
      </c>
    </row>
    <row r="67" spans="1:18">
      <c r="A67" s="157"/>
      <c r="B67" s="66" t="s">
        <v>5</v>
      </c>
      <c r="C67" s="66" t="s">
        <v>135</v>
      </c>
      <c r="D67" s="67">
        <v>449.5</v>
      </c>
      <c r="E67" s="67">
        <v>795</v>
      </c>
      <c r="F67" s="67">
        <v>704.43000000000006</v>
      </c>
      <c r="G67" s="67">
        <v>386.75</v>
      </c>
      <c r="H67" s="67">
        <v>791.13</v>
      </c>
      <c r="I67" s="67">
        <v>201.94</v>
      </c>
      <c r="K67" s="66" t="s">
        <v>5</v>
      </c>
      <c r="L67" s="66" t="s">
        <v>135</v>
      </c>
      <c r="M67" s="67">
        <v>258</v>
      </c>
      <c r="N67" s="67">
        <v>322.5</v>
      </c>
      <c r="O67" s="67">
        <v>203</v>
      </c>
      <c r="P67" s="67">
        <v>143.07999999999998</v>
      </c>
      <c r="Q67" s="67">
        <v>275.38</v>
      </c>
      <c r="R67" s="67">
        <v>201.94</v>
      </c>
    </row>
    <row r="68" spans="1:18">
      <c r="A68" s="157"/>
      <c r="B68" s="66" t="s">
        <v>6</v>
      </c>
      <c r="C68" s="66" t="s">
        <v>136</v>
      </c>
      <c r="D68" s="67">
        <v>1786.9</v>
      </c>
      <c r="E68" s="67">
        <v>1737.33</v>
      </c>
      <c r="F68" s="67">
        <v>1170.95</v>
      </c>
      <c r="G68" s="67">
        <v>1104.28</v>
      </c>
      <c r="H68" s="67">
        <v>1245.5</v>
      </c>
      <c r="I68" s="67">
        <v>598.5</v>
      </c>
      <c r="K68" s="66" t="s">
        <v>6</v>
      </c>
      <c r="L68" s="66" t="s">
        <v>136</v>
      </c>
      <c r="M68" s="67">
        <v>930.45</v>
      </c>
      <c r="N68" s="67">
        <v>880.83</v>
      </c>
      <c r="O68" s="67">
        <v>658.75</v>
      </c>
      <c r="P68" s="67">
        <v>597.9</v>
      </c>
      <c r="Q68" s="67">
        <v>672.25</v>
      </c>
      <c r="R68" s="67">
        <v>598.5</v>
      </c>
    </row>
    <row r="69" spans="1:18">
      <c r="A69" s="157"/>
      <c r="B69" s="66" t="s">
        <v>7</v>
      </c>
      <c r="C69" s="66" t="s">
        <v>137</v>
      </c>
      <c r="D69" s="67">
        <v>43</v>
      </c>
      <c r="E69" s="67">
        <v>4</v>
      </c>
      <c r="F69" s="67">
        <v>268.8</v>
      </c>
      <c r="G69" s="67">
        <v>78.5</v>
      </c>
      <c r="H69" s="67">
        <v>53</v>
      </c>
      <c r="I69" s="67">
        <v>16</v>
      </c>
      <c r="K69" s="66" t="s">
        <v>7</v>
      </c>
      <c r="L69" s="66" t="s">
        <v>137</v>
      </c>
      <c r="M69" s="67">
        <v>43</v>
      </c>
      <c r="N69" s="67">
        <v>0</v>
      </c>
      <c r="O69" s="67">
        <v>227.5</v>
      </c>
      <c r="P69" s="67">
        <v>78.5</v>
      </c>
      <c r="Q69" s="67">
        <v>18</v>
      </c>
      <c r="R69" s="67">
        <v>16</v>
      </c>
    </row>
    <row r="70" spans="1:18">
      <c r="A70" s="157"/>
      <c r="B70" s="66" t="s">
        <v>8</v>
      </c>
      <c r="C70" s="66" t="s">
        <v>138</v>
      </c>
      <c r="D70" s="67">
        <v>2</v>
      </c>
      <c r="E70" s="67">
        <v>340</v>
      </c>
      <c r="F70" s="67">
        <v>352.15999999999997</v>
      </c>
      <c r="G70" s="67">
        <v>420.08</v>
      </c>
      <c r="H70" s="67">
        <v>266.25</v>
      </c>
      <c r="I70" s="67">
        <v>47.2</v>
      </c>
      <c r="K70" s="66" t="s">
        <v>8</v>
      </c>
      <c r="L70" s="66" t="s">
        <v>138</v>
      </c>
      <c r="M70" s="67">
        <v>2</v>
      </c>
      <c r="N70" s="67">
        <v>256.75</v>
      </c>
      <c r="O70" s="67">
        <v>151.16</v>
      </c>
      <c r="P70" s="67">
        <v>221.83</v>
      </c>
      <c r="Q70" s="67">
        <v>94.25</v>
      </c>
      <c r="R70" s="67">
        <v>47.2</v>
      </c>
    </row>
    <row r="71" spans="1:18">
      <c r="A71" s="157"/>
      <c r="B71" s="66" t="s">
        <v>9</v>
      </c>
      <c r="C71" s="66" t="s">
        <v>139</v>
      </c>
      <c r="D71" s="67">
        <v>7</v>
      </c>
      <c r="E71" s="67">
        <v>2.5</v>
      </c>
      <c r="F71" s="67">
        <v>46.5</v>
      </c>
      <c r="G71" s="67">
        <v>27</v>
      </c>
      <c r="H71" s="67">
        <v>30</v>
      </c>
      <c r="I71" s="67">
        <v>0</v>
      </c>
      <c r="K71" s="66" t="s">
        <v>9</v>
      </c>
      <c r="L71" s="66" t="s">
        <v>139</v>
      </c>
      <c r="M71" s="67">
        <v>0</v>
      </c>
      <c r="N71" s="67">
        <v>2.5</v>
      </c>
      <c r="O71" s="67">
        <v>46.5</v>
      </c>
      <c r="P71" s="67">
        <v>19</v>
      </c>
      <c r="Q71" s="67">
        <v>3</v>
      </c>
      <c r="R71" s="67">
        <v>0</v>
      </c>
    </row>
    <row r="72" spans="1:18">
      <c r="A72" s="157"/>
      <c r="B72" s="66" t="s">
        <v>10</v>
      </c>
      <c r="C72" s="66" t="s">
        <v>140</v>
      </c>
      <c r="D72" s="67">
        <v>283</v>
      </c>
      <c r="E72" s="67">
        <v>339.84000000000003</v>
      </c>
      <c r="F72" s="67">
        <v>668.05</v>
      </c>
      <c r="G72" s="67">
        <v>522.54999999999995</v>
      </c>
      <c r="H72" s="67">
        <v>356.5</v>
      </c>
      <c r="I72" s="67">
        <v>271</v>
      </c>
      <c r="K72" s="66" t="s">
        <v>10</v>
      </c>
      <c r="L72" s="66" t="s">
        <v>140</v>
      </c>
      <c r="M72" s="67">
        <v>130.5</v>
      </c>
      <c r="N72" s="67">
        <v>248.84</v>
      </c>
      <c r="O72" s="67">
        <v>444.35</v>
      </c>
      <c r="P72" s="67">
        <v>274.55</v>
      </c>
      <c r="Q72" s="67">
        <v>192.5</v>
      </c>
      <c r="R72" s="67">
        <v>271</v>
      </c>
    </row>
    <row r="73" spans="1:18">
      <c r="A73" s="157"/>
      <c r="B73" s="66" t="s">
        <v>11</v>
      </c>
      <c r="C73" s="66" t="s">
        <v>141</v>
      </c>
      <c r="D73" s="67">
        <v>547.5</v>
      </c>
      <c r="E73" s="67">
        <v>844.7</v>
      </c>
      <c r="F73" s="67">
        <v>1360.85</v>
      </c>
      <c r="G73" s="67">
        <v>1271.7</v>
      </c>
      <c r="H73" s="67">
        <v>2156.38</v>
      </c>
      <c r="I73" s="67">
        <v>1048.25</v>
      </c>
      <c r="K73" s="66" t="s">
        <v>11</v>
      </c>
      <c r="L73" s="66" t="s">
        <v>141</v>
      </c>
      <c r="M73" s="67">
        <v>233.5</v>
      </c>
      <c r="N73" s="67">
        <v>259.25</v>
      </c>
      <c r="O73" s="67">
        <v>686.94999999999993</v>
      </c>
      <c r="P73" s="67">
        <v>634.29999999999995</v>
      </c>
      <c r="Q73" s="67">
        <v>1047.52</v>
      </c>
      <c r="R73" s="67">
        <v>1048.25</v>
      </c>
    </row>
    <row r="74" spans="1:18">
      <c r="A74" s="157"/>
      <c r="B74" s="66" t="s">
        <v>12</v>
      </c>
      <c r="C74" s="66" t="s">
        <v>142</v>
      </c>
      <c r="D74" s="67">
        <v>1914.05</v>
      </c>
      <c r="E74" s="67">
        <v>4115.58</v>
      </c>
      <c r="F74" s="67">
        <v>4955.91</v>
      </c>
      <c r="G74" s="67">
        <v>4091.97</v>
      </c>
      <c r="H74" s="67">
        <v>4002.8</v>
      </c>
      <c r="I74" s="67">
        <v>1124</v>
      </c>
      <c r="K74" s="66" t="s">
        <v>12</v>
      </c>
      <c r="L74" s="66" t="s">
        <v>142</v>
      </c>
      <c r="M74" s="67">
        <v>719.5</v>
      </c>
      <c r="N74" s="67">
        <v>2721.58</v>
      </c>
      <c r="O74" s="67">
        <v>2138.71</v>
      </c>
      <c r="P74" s="67">
        <v>2285.4499999999998</v>
      </c>
      <c r="Q74" s="67">
        <v>2130.8000000000002</v>
      </c>
      <c r="R74" s="67">
        <v>1124</v>
      </c>
    </row>
    <row r="75" spans="1:18">
      <c r="A75" s="157"/>
      <c r="B75" s="66" t="s">
        <v>13</v>
      </c>
      <c r="C75" s="66" t="s">
        <v>143</v>
      </c>
      <c r="D75" s="67">
        <v>330.75</v>
      </c>
      <c r="E75" s="67">
        <v>283.25</v>
      </c>
      <c r="F75" s="67">
        <v>1697.75</v>
      </c>
      <c r="G75" s="67">
        <v>819.5</v>
      </c>
      <c r="H75" s="67">
        <v>509.5</v>
      </c>
      <c r="I75" s="67">
        <v>240.5</v>
      </c>
      <c r="K75" s="66" t="s">
        <v>13</v>
      </c>
      <c r="L75" s="66" t="s">
        <v>143</v>
      </c>
      <c r="M75" s="67">
        <v>178.39999999999998</v>
      </c>
      <c r="N75" s="67">
        <v>138.75</v>
      </c>
      <c r="O75" s="67">
        <v>689.5</v>
      </c>
      <c r="P75" s="67">
        <v>611.5</v>
      </c>
      <c r="Q75" s="67">
        <v>275</v>
      </c>
      <c r="R75" s="67">
        <v>240.5</v>
      </c>
    </row>
    <row r="76" spans="1:18">
      <c r="A76" s="157"/>
      <c r="B76" s="66" t="s">
        <v>14</v>
      </c>
      <c r="C76" s="66" t="s">
        <v>144</v>
      </c>
      <c r="D76" s="67">
        <v>166</v>
      </c>
      <c r="E76" s="67">
        <v>69.75</v>
      </c>
      <c r="F76" s="67">
        <v>0.75</v>
      </c>
      <c r="G76" s="67">
        <v>29</v>
      </c>
      <c r="H76" s="67">
        <v>99.5</v>
      </c>
      <c r="I76" s="67">
        <v>79.5</v>
      </c>
      <c r="K76" s="66" t="s">
        <v>14</v>
      </c>
      <c r="L76" s="66" t="s">
        <v>144</v>
      </c>
      <c r="M76" s="67">
        <v>107</v>
      </c>
      <c r="N76" s="67">
        <v>69.75</v>
      </c>
      <c r="O76" s="67">
        <v>0</v>
      </c>
      <c r="P76" s="67">
        <v>0</v>
      </c>
      <c r="Q76" s="67">
        <v>0</v>
      </c>
      <c r="R76" s="67">
        <v>79.5</v>
      </c>
    </row>
    <row r="77" spans="1:18">
      <c r="A77" s="157"/>
      <c r="B77" s="66" t="s">
        <v>15</v>
      </c>
      <c r="C77" s="66" t="s">
        <v>145</v>
      </c>
      <c r="D77" s="67">
        <v>169.45</v>
      </c>
      <c r="E77" s="67">
        <v>61.849999999999994</v>
      </c>
      <c r="F77" s="67">
        <v>411.63</v>
      </c>
      <c r="G77" s="67">
        <v>283.64999999999998</v>
      </c>
      <c r="H77" s="67">
        <v>39.299999999999997</v>
      </c>
      <c r="I77" s="67">
        <v>0</v>
      </c>
      <c r="K77" s="66" t="s">
        <v>15</v>
      </c>
      <c r="L77" s="66" t="s">
        <v>145</v>
      </c>
      <c r="M77" s="67">
        <v>99.75</v>
      </c>
      <c r="N77" s="67">
        <v>34.849999999999994</v>
      </c>
      <c r="O77" s="67">
        <v>250.38</v>
      </c>
      <c r="P77" s="67">
        <v>182.04999999999995</v>
      </c>
      <c r="Q77" s="67">
        <v>31</v>
      </c>
      <c r="R77" s="67">
        <v>0</v>
      </c>
    </row>
    <row r="78" spans="1:18">
      <c r="A78" s="157"/>
      <c r="B78" s="66"/>
      <c r="C78" s="68"/>
      <c r="D78" s="72">
        <v>18444.660000000003</v>
      </c>
      <c r="E78" s="72">
        <v>21991.14</v>
      </c>
      <c r="F78" s="72">
        <v>25886.489999999998</v>
      </c>
      <c r="G78" s="72">
        <v>22757.880000000005</v>
      </c>
      <c r="H78" s="72">
        <v>22347.999999999996</v>
      </c>
      <c r="I78" s="72">
        <v>7331.96</v>
      </c>
      <c r="K78" s="66"/>
      <c r="L78" s="68"/>
      <c r="M78" s="72">
        <v>8983.3900000000012</v>
      </c>
      <c r="N78" s="72">
        <v>12035.32</v>
      </c>
      <c r="O78" s="72">
        <v>12478.4</v>
      </c>
      <c r="P78" s="72">
        <v>12342.909999999996</v>
      </c>
      <c r="Q78" s="72">
        <v>11785.670000000002</v>
      </c>
      <c r="R78" s="72">
        <v>7331.96</v>
      </c>
    </row>
  </sheetData>
  <mergeCells count="1">
    <mergeCell ref="A1:A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</vt:i4>
      </vt:variant>
    </vt:vector>
  </HeadingPairs>
  <TitlesOfParts>
    <vt:vector size="13" baseType="lpstr">
      <vt:lpstr>Main_Page</vt:lpstr>
      <vt:lpstr>Response_Prevention</vt:lpstr>
      <vt:lpstr>RBS</vt:lpstr>
      <vt:lpstr>Support</vt:lpstr>
      <vt:lpstr>Augmentation</vt:lpstr>
      <vt:lpstr>Personnel</vt:lpstr>
      <vt:lpstr>RP_Data</vt:lpstr>
      <vt:lpstr>RBS_Data</vt:lpstr>
      <vt:lpstr>Support_Data</vt:lpstr>
      <vt:lpstr>Augmentation_Data</vt:lpstr>
      <vt:lpstr>Personnel_Data</vt:lpstr>
      <vt:lpstr>Date_Control</vt:lpstr>
      <vt:lpstr>Districts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</dc:creator>
  <cp:lastModifiedBy>Harry</cp:lastModifiedBy>
  <dcterms:created xsi:type="dcterms:W3CDTF">2020-06-22T01:03:29Z</dcterms:created>
  <dcterms:modified xsi:type="dcterms:W3CDTF">2026-07-09T22:50:25Z</dcterms:modified>
</cp:coreProperties>
</file>